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20490" windowHeight="7755"/>
  </bookViews>
  <sheets>
    <sheet name="Price" sheetId="12" r:id="rId1"/>
    <sheet name="Cash30" sheetId="11" r:id="rId2"/>
    <sheet name="20-80" sheetId="9" r:id="rId3"/>
    <sheet name="30-70" sheetId="8" r:id="rId4"/>
    <sheet name="40-60" sheetId="23" r:id="rId5"/>
    <sheet name="50-50" sheetId="22" r:id="rId6"/>
    <sheet name="dp(6)" sheetId="24" r:id="rId7"/>
    <sheet name="20(12)-80" sheetId="5" r:id="rId8"/>
    <sheet name="20(15)-80" sheetId="25" r:id="rId9"/>
    <sheet name="20(18)-80" sheetId="26" state="hidden" r:id="rId10"/>
    <sheet name="10-10(11)-80" sheetId="6" r:id="rId11"/>
    <sheet name="10-10(14)-80" sheetId="27" r:id="rId12"/>
    <sheet name="10-10(17)-80" sheetId="28" state="hidden" r:id="rId13"/>
    <sheet name="5-15(11)-80" sheetId="17" r:id="rId14"/>
    <sheet name="5-15(14)-80" sheetId="29" r:id="rId15"/>
    <sheet name="5-15(17)-80" sheetId="30" state="hidden" r:id="rId16"/>
    <sheet name="5-10(10)-5-80" sheetId="20" r:id="rId17"/>
    <sheet name="5-10(13)-5-80" sheetId="32" r:id="rId18"/>
    <sheet name="5-10(16)-5-80" sheetId="31" state="hidden" r:id="rId19"/>
  </sheets>
  <definedNames>
    <definedName name="_xlnm.Print_Area" localSheetId="1">Cash30!$A$1:$E$51</definedName>
  </definedNames>
  <calcPr calcId="124519"/>
</workbook>
</file>

<file path=xl/calcChain.xml><?xml version="1.0" encoding="utf-8"?>
<calcChain xmlns="http://schemas.openxmlformats.org/spreadsheetml/2006/main">
  <c r="B9" i="20"/>
  <c r="H5" i="12"/>
  <c r="G7" l="1"/>
  <c r="H7"/>
  <c r="G8" l="1"/>
  <c r="G9" s="1"/>
  <c r="G10" s="1"/>
  <c r="H8"/>
  <c r="H9" s="1"/>
  <c r="H10" s="1"/>
  <c r="D20" i="31" l="1"/>
  <c r="B9"/>
  <c r="B12" s="1"/>
  <c r="B45" i="30"/>
  <c r="B44"/>
  <c r="B43"/>
  <c r="D20"/>
  <c r="B9"/>
  <c r="B12" s="1"/>
  <c r="B45" i="28"/>
  <c r="B44"/>
  <c r="B43"/>
  <c r="D20"/>
  <c r="B9"/>
  <c r="D20" i="32"/>
  <c r="B9"/>
  <c r="B15" s="1"/>
  <c r="D22" s="1"/>
  <c r="B22" s="1"/>
  <c r="C22" s="1"/>
  <c r="D20" i="29"/>
  <c r="B9"/>
  <c r="B15" s="1"/>
  <c r="D21" s="1"/>
  <c r="D20" i="27"/>
  <c r="B9"/>
  <c r="B45" i="26"/>
  <c r="B44"/>
  <c r="B43"/>
  <c r="D20"/>
  <c r="B9"/>
  <c r="B12" s="1"/>
  <c r="D20" i="25"/>
  <c r="B9"/>
  <c r="B15" s="1"/>
  <c r="D21" s="1"/>
  <c r="B21" s="1"/>
  <c r="D21" i="32" l="1"/>
  <c r="B21" s="1"/>
  <c r="D35"/>
  <c r="B35" s="1"/>
  <c r="C35" s="1"/>
  <c r="B12" i="27"/>
  <c r="D22" i="29"/>
  <c r="B22" s="1"/>
  <c r="C22" s="1"/>
  <c r="B14" i="27"/>
  <c r="B11" i="28"/>
  <c r="B14" i="31"/>
  <c r="B12" i="28"/>
  <c r="B12" i="32"/>
  <c r="B15" i="31"/>
  <c r="D38" s="1"/>
  <c r="B38" s="1"/>
  <c r="C38" s="1"/>
  <c r="B12" i="25"/>
  <c r="B10" i="31"/>
  <c r="B14" i="25"/>
  <c r="B10" i="27"/>
  <c r="B12" i="29"/>
  <c r="B11" i="31"/>
  <c r="B10" i="30"/>
  <c r="B14"/>
  <c r="B11"/>
  <c r="B15"/>
  <c r="D22" s="1"/>
  <c r="B14" i="28"/>
  <c r="B10"/>
  <c r="B15"/>
  <c r="D21" s="1"/>
  <c r="B21" s="1"/>
  <c r="C21" s="1"/>
  <c r="D37" i="32"/>
  <c r="B39"/>
  <c r="B41" s="1"/>
  <c r="B10"/>
  <c r="B14"/>
  <c r="B11"/>
  <c r="D37" i="29"/>
  <c r="B39"/>
  <c r="B41" s="1"/>
  <c r="B21"/>
  <c r="B10"/>
  <c r="B14"/>
  <c r="B11"/>
  <c r="B11" i="27"/>
  <c r="B15"/>
  <c r="B22" i="25"/>
  <c r="C21"/>
  <c r="C22" s="1"/>
  <c r="B10"/>
  <c r="B10" i="26"/>
  <c r="B14"/>
  <c r="B11"/>
  <c r="B15"/>
  <c r="D21" s="1"/>
  <c r="B21" s="1"/>
  <c r="B39" i="25"/>
  <c r="B41" s="1"/>
  <c r="D37"/>
  <c r="B11"/>
  <c r="D22" i="24"/>
  <c r="B9"/>
  <c r="D22" i="22"/>
  <c r="B9"/>
  <c r="D21" i="23"/>
  <c r="B8"/>
  <c r="B13" s="1"/>
  <c r="D22" i="8"/>
  <c r="B9"/>
  <c r="B12" s="1"/>
  <c r="B14" i="11"/>
  <c r="B13" i="30"/>
  <c r="B13" i="29" l="1"/>
  <c r="B13" i="31"/>
  <c r="B13" i="27"/>
  <c r="B13" i="28"/>
  <c r="B13" i="11"/>
  <c r="B13" i="25"/>
  <c r="B13" i="26"/>
  <c r="B13" i="32"/>
  <c r="D40" i="28"/>
  <c r="B40" s="1"/>
  <c r="C40" s="1"/>
  <c r="B42" i="31"/>
  <c r="B44" s="1"/>
  <c r="B16" s="1"/>
  <c r="D22"/>
  <c r="B22" s="1"/>
  <c r="B22" i="26"/>
  <c r="B23" s="1"/>
  <c r="B24" s="1"/>
  <c r="B25" s="1"/>
  <c r="C21"/>
  <c r="C22" s="1"/>
  <c r="D21" i="31"/>
  <c r="B21" s="1"/>
  <c r="C21" s="1"/>
  <c r="D40"/>
  <c r="D22" i="27"/>
  <c r="B22" s="1"/>
  <c r="C22" s="1"/>
  <c r="D21"/>
  <c r="B21" s="1"/>
  <c r="C21" s="1"/>
  <c r="D22" i="25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23" i="3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B42" i="30"/>
  <c r="B47" s="1"/>
  <c r="D21"/>
  <c r="B21" s="1"/>
  <c r="C21" s="1"/>
  <c r="D40"/>
  <c r="B42" i="28"/>
  <c r="B47" s="1"/>
  <c r="D22"/>
  <c r="B22" s="1"/>
  <c r="C36" i="32"/>
  <c r="D36"/>
  <c r="B16"/>
  <c r="B45"/>
  <c r="D44"/>
  <c r="B46"/>
  <c r="B44"/>
  <c r="B37"/>
  <c r="C37" s="1"/>
  <c r="D45"/>
  <c r="C21"/>
  <c r="C21" i="29"/>
  <c r="C36"/>
  <c r="D36"/>
  <c r="B16"/>
  <c r="B45"/>
  <c r="D44"/>
  <c r="B46"/>
  <c r="B44"/>
  <c r="B37"/>
  <c r="C37" s="1"/>
  <c r="D45"/>
  <c r="B39" i="27"/>
  <c r="B41" s="1"/>
  <c r="D37"/>
  <c r="B23" i="25"/>
  <c r="B24" s="1"/>
  <c r="B25" s="1"/>
  <c r="B26" s="1"/>
  <c r="B28" s="1"/>
  <c r="B30" s="1"/>
  <c r="B32" s="1"/>
  <c r="B33" s="1"/>
  <c r="B34" s="1"/>
  <c r="B35" s="1"/>
  <c r="B42" i="26"/>
  <c r="B47" s="1"/>
  <c r="D40"/>
  <c r="D45" i="25"/>
  <c r="B45"/>
  <c r="D44"/>
  <c r="B46"/>
  <c r="B44"/>
  <c r="B37"/>
  <c r="C37" s="1"/>
  <c r="C25"/>
  <c r="C29" s="1"/>
  <c r="C26"/>
  <c r="C30" s="1"/>
  <c r="C23"/>
  <c r="C27" s="1"/>
  <c r="C31" s="1"/>
  <c r="C24"/>
  <c r="C28" s="1"/>
  <c r="C32" s="1"/>
  <c r="C33" s="1"/>
  <c r="C34" s="1"/>
  <c r="C35" s="1"/>
  <c r="D36"/>
  <c r="C36"/>
  <c r="B16"/>
  <c r="B13" i="22"/>
  <c r="B13" i="24"/>
  <c r="B12"/>
  <c r="B10" i="23"/>
  <c r="B11" i="22"/>
  <c r="B11" i="23"/>
  <c r="B11" i="24"/>
  <c r="B14"/>
  <c r="B10"/>
  <c r="B10" i="22"/>
  <c r="B14"/>
  <c r="B12"/>
  <c r="B12" i="23"/>
  <c r="B9"/>
  <c r="B13" i="8"/>
  <c r="B10"/>
  <c r="B14"/>
  <c r="B11"/>
  <c r="B11" i="11"/>
  <c r="B12"/>
  <c r="B10"/>
  <c r="D50" i="28" l="1"/>
  <c r="B50"/>
  <c r="C39" i="31"/>
  <c r="D39"/>
  <c r="B51" i="28"/>
  <c r="B52"/>
  <c r="D51"/>
  <c r="D23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B49" i="31"/>
  <c r="D47"/>
  <c r="B40"/>
  <c r="C40" s="1"/>
  <c r="B48"/>
  <c r="B47"/>
  <c r="D48"/>
  <c r="B26" i="26"/>
  <c r="B28" s="1"/>
  <c r="B30" s="1"/>
  <c r="B32" s="1"/>
  <c r="B33" s="1"/>
  <c r="B34" s="1"/>
  <c r="B35" s="1"/>
  <c r="B36" s="1"/>
  <c r="B37" s="1"/>
  <c r="B38" s="1"/>
  <c r="B27"/>
  <c r="B29" s="1"/>
  <c r="B31" s="1"/>
  <c r="B23" i="31"/>
  <c r="B24" s="1"/>
  <c r="B25" s="1"/>
  <c r="C22"/>
  <c r="D23" i="30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B22"/>
  <c r="D51"/>
  <c r="B51"/>
  <c r="D50"/>
  <c r="B52"/>
  <c r="B50"/>
  <c r="B40"/>
  <c r="C40" s="1"/>
  <c r="D39"/>
  <c r="B16"/>
  <c r="C39"/>
  <c r="B16" i="28"/>
  <c r="C39"/>
  <c r="D39"/>
  <c r="B23"/>
  <c r="B24" s="1"/>
  <c r="B25" s="1"/>
  <c r="C22"/>
  <c r="C25" i="32"/>
  <c r="C29" s="1"/>
  <c r="C26"/>
  <c r="C30" s="1"/>
  <c r="C23"/>
  <c r="C27" s="1"/>
  <c r="C31" s="1"/>
  <c r="C24"/>
  <c r="C28" s="1"/>
  <c r="C32" s="1"/>
  <c r="C33" s="1"/>
  <c r="C34" s="1"/>
  <c r="D23"/>
  <c r="D24" s="1"/>
  <c r="D25" s="1"/>
  <c r="D26" s="1"/>
  <c r="D27" s="1"/>
  <c r="D28" s="1"/>
  <c r="D29" s="1"/>
  <c r="D30" s="1"/>
  <c r="D31" s="1"/>
  <c r="D32" s="1"/>
  <c r="D33" s="1"/>
  <c r="D34" s="1"/>
  <c r="B23"/>
  <c r="B24" s="1"/>
  <c r="B25" s="1"/>
  <c r="D23" i="29"/>
  <c r="D24" s="1"/>
  <c r="D25" s="1"/>
  <c r="D26" s="1"/>
  <c r="D27" s="1"/>
  <c r="D28" s="1"/>
  <c r="D29" s="1"/>
  <c r="D30" s="1"/>
  <c r="D31" s="1"/>
  <c r="D32" s="1"/>
  <c r="D33" s="1"/>
  <c r="D34" s="1"/>
  <c r="D35" s="1"/>
  <c r="B23"/>
  <c r="B24" s="1"/>
  <c r="B25" s="1"/>
  <c r="C25"/>
  <c r="C29" s="1"/>
  <c r="C26"/>
  <c r="C30" s="1"/>
  <c r="C23"/>
  <c r="C27" s="1"/>
  <c r="C31" s="1"/>
  <c r="C24"/>
  <c r="C28" s="1"/>
  <c r="C32" s="1"/>
  <c r="C33" s="1"/>
  <c r="C34" s="1"/>
  <c r="C35" s="1"/>
  <c r="B46" i="27"/>
  <c r="B44"/>
  <c r="B37"/>
  <c r="C37" s="1"/>
  <c r="D45"/>
  <c r="B45"/>
  <c r="D44"/>
  <c r="D36"/>
  <c r="B16"/>
  <c r="C36"/>
  <c r="B27" i="25"/>
  <c r="B29" s="1"/>
  <c r="B31" s="1"/>
  <c r="C24" i="26"/>
  <c r="C28" s="1"/>
  <c r="C32" s="1"/>
  <c r="C33" s="1"/>
  <c r="C34" s="1"/>
  <c r="C35" s="1"/>
  <c r="C36" s="1"/>
  <c r="C37" s="1"/>
  <c r="C38" s="1"/>
  <c r="C25"/>
  <c r="C29" s="1"/>
  <c r="C26"/>
  <c r="C30" s="1"/>
  <c r="C23"/>
  <c r="C27" s="1"/>
  <c r="C31" s="1"/>
  <c r="D22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B52"/>
  <c r="B50"/>
  <c r="B40"/>
  <c r="C40" s="1"/>
  <c r="D51"/>
  <c r="B51"/>
  <c r="D50"/>
  <c r="B16"/>
  <c r="D39"/>
  <c r="C39"/>
  <c r="C24" i="31" l="1"/>
  <c r="C28" s="1"/>
  <c r="C25"/>
  <c r="C29" s="1"/>
  <c r="C23"/>
  <c r="C27" s="1"/>
  <c r="C31" s="1"/>
  <c r="C26"/>
  <c r="C30" s="1"/>
  <c r="B27"/>
  <c r="B29" s="1"/>
  <c r="B31" s="1"/>
  <c r="B32" s="1"/>
  <c r="B26"/>
  <c r="B28" s="1"/>
  <c r="B30" s="1"/>
  <c r="B23" i="30"/>
  <c r="B24" s="1"/>
  <c r="B25" s="1"/>
  <c r="C22"/>
  <c r="C23" i="28"/>
  <c r="C27" s="1"/>
  <c r="C31" s="1"/>
  <c r="C24"/>
  <c r="C28" s="1"/>
  <c r="C32" s="1"/>
  <c r="C33" s="1"/>
  <c r="C34" s="1"/>
  <c r="C35" s="1"/>
  <c r="C36" s="1"/>
  <c r="C37" s="1"/>
  <c r="C38" s="1"/>
  <c r="C25"/>
  <c r="C29" s="1"/>
  <c r="C26"/>
  <c r="C30" s="1"/>
  <c r="B26"/>
  <c r="B28" s="1"/>
  <c r="B30" s="1"/>
  <c r="B32" s="1"/>
  <c r="B33" s="1"/>
  <c r="B34" s="1"/>
  <c r="B35" s="1"/>
  <c r="B36" s="1"/>
  <c r="B37" s="1"/>
  <c r="B38" s="1"/>
  <c r="B27"/>
  <c r="B29" s="1"/>
  <c r="B31" s="1"/>
  <c r="B26" i="32"/>
  <c r="B28" s="1"/>
  <c r="B30" s="1"/>
  <c r="B32" s="1"/>
  <c r="B33" s="1"/>
  <c r="B34" s="1"/>
  <c r="B27"/>
  <c r="B29" s="1"/>
  <c r="B31" s="1"/>
  <c r="B26" i="29"/>
  <c r="B28" s="1"/>
  <c r="B30" s="1"/>
  <c r="B32" s="1"/>
  <c r="B33" s="1"/>
  <c r="B34" s="1"/>
  <c r="B35" s="1"/>
  <c r="B27"/>
  <c r="B29" s="1"/>
  <c r="B31" s="1"/>
  <c r="C23" i="27"/>
  <c r="C27" s="1"/>
  <c r="C31" s="1"/>
  <c r="C24"/>
  <c r="C28" s="1"/>
  <c r="C32" s="1"/>
  <c r="C33" s="1"/>
  <c r="C34" s="1"/>
  <c r="C35" s="1"/>
  <c r="C25"/>
  <c r="C29" s="1"/>
  <c r="C26"/>
  <c r="C30" s="1"/>
  <c r="B23"/>
  <c r="B24" s="1"/>
  <c r="B25" s="1"/>
  <c r="D23"/>
  <c r="D24" s="1"/>
  <c r="D25" s="1"/>
  <c r="D26" s="1"/>
  <c r="D27" s="1"/>
  <c r="D28" s="1"/>
  <c r="D29" s="1"/>
  <c r="D30" s="1"/>
  <c r="D31" s="1"/>
  <c r="D32" s="1"/>
  <c r="D33" s="1"/>
  <c r="D34" s="1"/>
  <c r="D35" s="1"/>
  <c r="D6" i="12"/>
  <c r="B33" i="31" l="1"/>
  <c r="C32"/>
  <c r="C24" i="30"/>
  <c r="C28" s="1"/>
  <c r="C32" s="1"/>
  <c r="C33" s="1"/>
  <c r="C34" s="1"/>
  <c r="C35" s="1"/>
  <c r="C36" s="1"/>
  <c r="C37" s="1"/>
  <c r="C38" s="1"/>
  <c r="C25"/>
  <c r="C29" s="1"/>
  <c r="C26"/>
  <c r="C30" s="1"/>
  <c r="C23"/>
  <c r="C27" s="1"/>
  <c r="C31" s="1"/>
  <c r="B27"/>
  <c r="B29" s="1"/>
  <c r="B31" s="1"/>
  <c r="B26"/>
  <c r="B28" s="1"/>
  <c r="B30" s="1"/>
  <c r="B32" s="1"/>
  <c r="B33" s="1"/>
  <c r="B34" s="1"/>
  <c r="B35" s="1"/>
  <c r="B36" s="1"/>
  <c r="B37" s="1"/>
  <c r="B38" s="1"/>
  <c r="B26" i="27"/>
  <c r="B28" s="1"/>
  <c r="B30" s="1"/>
  <c r="B32" s="1"/>
  <c r="B33" s="1"/>
  <c r="B34" s="1"/>
  <c r="B35" s="1"/>
  <c r="B27"/>
  <c r="B29" s="1"/>
  <c r="B31" s="1"/>
  <c r="B15" i="11"/>
  <c r="B16" s="1"/>
  <c r="B15" i="8"/>
  <c r="B16" s="1"/>
  <c r="B15" i="22"/>
  <c r="B16" s="1"/>
  <c r="B14" i="23"/>
  <c r="B15" s="1"/>
  <c r="B15" i="24"/>
  <c r="B16" s="1"/>
  <c r="D7" i="12"/>
  <c r="D8" s="1"/>
  <c r="D9" s="1"/>
  <c r="C33" i="31" l="1"/>
  <c r="C34" s="1"/>
  <c r="C35" s="1"/>
  <c r="C36" s="1"/>
  <c r="C37" s="1"/>
  <c r="B34"/>
  <c r="B35" s="1"/>
  <c r="B36" s="1"/>
  <c r="B37" s="1"/>
  <c r="B16" i="23"/>
  <c r="B17" i="22"/>
  <c r="B17" i="8"/>
  <c r="B17" i="24"/>
  <c r="I10" i="12"/>
  <c r="I9"/>
  <c r="I8"/>
  <c r="I7"/>
  <c r="I6"/>
  <c r="D22" i="23" l="1"/>
  <c r="D24"/>
  <c r="J23" i="24"/>
  <c r="D23" s="1"/>
  <c r="B32"/>
  <c r="B34" s="1"/>
  <c r="D30"/>
  <c r="B27" i="22"/>
  <c r="B29" s="1"/>
  <c r="C23"/>
  <c r="D23"/>
  <c r="D25"/>
  <c r="B23"/>
  <c r="B23" i="8"/>
  <c r="D23"/>
  <c r="D25"/>
  <c r="C23"/>
  <c r="B27"/>
  <c r="B29" s="1"/>
  <c r="C22" i="23"/>
  <c r="B22"/>
  <c r="B26"/>
  <c r="B28" s="1"/>
  <c r="D23" s="1"/>
  <c r="I5" i="12"/>
  <c r="C24" i="22" l="1"/>
  <c r="D24"/>
  <c r="B18"/>
  <c r="B34" i="8"/>
  <c r="D33"/>
  <c r="B32"/>
  <c r="B33"/>
  <c r="B25"/>
  <c r="C25" s="1"/>
  <c r="D32"/>
  <c r="B25" i="22"/>
  <c r="C25" s="1"/>
  <c r="B34"/>
  <c r="D33"/>
  <c r="D32"/>
  <c r="B32"/>
  <c r="B33"/>
  <c r="D38" i="24"/>
  <c r="B39"/>
  <c r="B37"/>
  <c r="D37"/>
  <c r="B30"/>
  <c r="C30" s="1"/>
  <c r="B38"/>
  <c r="B17" i="23"/>
  <c r="C23"/>
  <c r="B24"/>
  <c r="C24" s="1"/>
  <c r="D31"/>
  <c r="D32"/>
  <c r="B33"/>
  <c r="B32"/>
  <c r="B31"/>
  <c r="B18" i="24"/>
  <c r="C29"/>
  <c r="D29"/>
  <c r="B18" i="8"/>
  <c r="D24"/>
  <c r="C24"/>
  <c r="B23" i="24"/>
  <c r="D24"/>
  <c r="D25" s="1"/>
  <c r="D26" s="1"/>
  <c r="D27" s="1"/>
  <c r="D28" s="1"/>
  <c r="I32"/>
  <c r="B24" l="1"/>
  <c r="B25" s="1"/>
  <c r="B26" s="1"/>
  <c r="B27" s="1"/>
  <c r="B28" s="1"/>
  <c r="C23"/>
  <c r="C24" s="1"/>
  <c r="C25" s="1"/>
  <c r="C26" s="1"/>
  <c r="C27" s="1"/>
  <c r="C28" s="1"/>
  <c r="D20" i="20" l="1"/>
  <c r="B15" l="1"/>
  <c r="B32" s="1"/>
  <c r="B11"/>
  <c r="B14"/>
  <c r="B10"/>
  <c r="B13"/>
  <c r="B12"/>
  <c r="D22" l="1"/>
  <c r="D32"/>
  <c r="D34"/>
  <c r="D21"/>
  <c r="B21" s="1"/>
  <c r="C21" s="1"/>
  <c r="C32"/>
  <c r="B36"/>
  <c r="B38" s="1"/>
  <c r="D20" i="17"/>
  <c r="B9"/>
  <c r="B13" l="1"/>
  <c r="B12"/>
  <c r="B15"/>
  <c r="B11"/>
  <c r="B14"/>
  <c r="B10"/>
  <c r="D42" i="20"/>
  <c r="B42"/>
  <c r="D41"/>
  <c r="B43"/>
  <c r="B41"/>
  <c r="D33"/>
  <c r="B16"/>
  <c r="C33"/>
  <c r="B34"/>
  <c r="C34" s="1"/>
  <c r="D23"/>
  <c r="D24" s="1"/>
  <c r="D25" s="1"/>
  <c r="D26" s="1"/>
  <c r="D27" s="1"/>
  <c r="D28" s="1"/>
  <c r="D29" s="1"/>
  <c r="D30" s="1"/>
  <c r="D31" s="1"/>
  <c r="B22"/>
  <c r="D21" i="17" l="1"/>
  <c r="D22"/>
  <c r="D34"/>
  <c r="C22" i="20"/>
  <c r="B23"/>
  <c r="B24" s="1"/>
  <c r="B25" s="1"/>
  <c r="B36" i="17" l="1"/>
  <c r="B38" s="1"/>
  <c r="B16" s="1"/>
  <c r="B22"/>
  <c r="C22" s="1"/>
  <c r="C26" i="20"/>
  <c r="C30" s="1"/>
  <c r="C24"/>
  <c r="C28" s="1"/>
  <c r="C25"/>
  <c r="C29" s="1"/>
  <c r="C23"/>
  <c r="C27" s="1"/>
  <c r="C31" s="1"/>
  <c r="B27"/>
  <c r="B29" s="1"/>
  <c r="B31" s="1"/>
  <c r="B26"/>
  <c r="B28" s="1"/>
  <c r="B30" s="1"/>
  <c r="B21" i="17"/>
  <c r="C21" s="1"/>
  <c r="C33" l="1"/>
  <c r="B43"/>
  <c r="B41"/>
  <c r="D42"/>
  <c r="B42"/>
  <c r="D41"/>
  <c r="D33"/>
  <c r="B23"/>
  <c r="B24" s="1"/>
  <c r="B25" s="1"/>
  <c r="D23"/>
  <c r="D24" s="1"/>
  <c r="D25" s="1"/>
  <c r="D26" s="1"/>
  <c r="D27" s="1"/>
  <c r="B27" s="1"/>
  <c r="C27" s="1"/>
  <c r="B34"/>
  <c r="C34" s="1"/>
  <c r="C23"/>
  <c r="C24"/>
  <c r="C28" s="1"/>
  <c r="C32" s="1"/>
  <c r="C25"/>
  <c r="C29" s="1"/>
  <c r="C26"/>
  <c r="C30" s="1"/>
  <c r="C31" s="1"/>
  <c r="D28" l="1"/>
  <c r="D29" s="1"/>
  <c r="D30" s="1"/>
  <c r="D31" s="1"/>
  <c r="D32" s="1"/>
  <c r="B26"/>
  <c r="B28" s="1"/>
  <c r="B30" l="1"/>
  <c r="B29"/>
  <c r="B32" l="1"/>
  <c r="B31"/>
  <c r="B17" i="11"/>
  <c r="B27" s="1"/>
  <c r="B23" l="1"/>
  <c r="B9" i="9"/>
  <c r="B15" s="1"/>
  <c r="B16" s="1"/>
  <c r="B13" l="1"/>
  <c r="B12"/>
  <c r="B14"/>
  <c r="B11"/>
  <c r="B10"/>
  <c r="B9" i="6" l="1"/>
  <c r="B9" i="5"/>
  <c r="D22" i="11"/>
  <c r="D22" i="9"/>
  <c r="D20" i="5"/>
  <c r="D20" i="6"/>
  <c r="B13" i="5" l="1"/>
  <c r="B12"/>
  <c r="B15"/>
  <c r="B11"/>
  <c r="B14"/>
  <c r="B10"/>
  <c r="B15" i="6"/>
  <c r="B11"/>
  <c r="B14"/>
  <c r="B10"/>
  <c r="B13"/>
  <c r="B12"/>
  <c r="B17" i="9"/>
  <c r="B27" s="1"/>
  <c r="D21" i="5" l="1"/>
  <c r="D22" s="1"/>
  <c r="D34"/>
  <c r="D21" i="6"/>
  <c r="D22"/>
  <c r="D34"/>
  <c r="B23" i="9"/>
  <c r="C23"/>
  <c r="D23"/>
  <c r="D25"/>
  <c r="B36" i="5"/>
  <c r="D33" i="9" l="1"/>
  <c r="B33"/>
  <c r="D32"/>
  <c r="B34"/>
  <c r="B32"/>
  <c r="B25"/>
  <c r="C25" s="1"/>
  <c r="B22" i="6"/>
  <c r="B23" s="1"/>
  <c r="B24" s="1"/>
  <c r="B25" s="1"/>
  <c r="B36"/>
  <c r="B38" s="1"/>
  <c r="B16" s="1"/>
  <c r="J21" i="5"/>
  <c r="J22" s="1"/>
  <c r="B21" s="1"/>
  <c r="C21"/>
  <c r="B21" i="6"/>
  <c r="C21" s="1"/>
  <c r="C23" i="11"/>
  <c r="D23" s="1"/>
  <c r="B29"/>
  <c r="B18" s="1"/>
  <c r="B38" i="5"/>
  <c r="D33" s="1"/>
  <c r="B34" l="1"/>
  <c r="C34" s="1"/>
  <c r="D41"/>
  <c r="B43"/>
  <c r="B41"/>
  <c r="D42"/>
  <c r="B42"/>
  <c r="B34" i="6"/>
  <c r="C34" s="1"/>
  <c r="B43"/>
  <c r="B42"/>
  <c r="D42"/>
  <c r="B41"/>
  <c r="D41"/>
  <c r="C22"/>
  <c r="C24" s="1"/>
  <c r="C28" s="1"/>
  <c r="C32" s="1"/>
  <c r="C22" i="5"/>
  <c r="C25" s="1"/>
  <c r="C29" s="1"/>
  <c r="B22"/>
  <c r="B23" s="1"/>
  <c r="B24" s="1"/>
  <c r="B25" s="1"/>
  <c r="B27" s="1"/>
  <c r="B29" s="1"/>
  <c r="B31" s="1"/>
  <c r="B29" i="9"/>
  <c r="D24" s="1"/>
  <c r="C33" i="5"/>
  <c r="C24" i="11"/>
  <c r="D24"/>
  <c r="B16" i="5"/>
  <c r="C33" i="6"/>
  <c r="D33"/>
  <c r="B27"/>
  <c r="B29" s="1"/>
  <c r="B31" s="1"/>
  <c r="B26"/>
  <c r="B28" s="1"/>
  <c r="B30" s="1"/>
  <c r="B32" s="1"/>
  <c r="D23"/>
  <c r="D24" s="1"/>
  <c r="D25" s="1"/>
  <c r="D26" s="1"/>
  <c r="D27" s="1"/>
  <c r="D28" s="1"/>
  <c r="D29" s="1"/>
  <c r="D30" s="1"/>
  <c r="D31" s="1"/>
  <c r="D32" s="1"/>
  <c r="C23" l="1"/>
  <c r="C27" s="1"/>
  <c r="C31" s="1"/>
  <c r="C25"/>
  <c r="C29" s="1"/>
  <c r="C23" i="5"/>
  <c r="C27" s="1"/>
  <c r="C31" s="1"/>
  <c r="C26" i="6"/>
  <c r="C30" s="1"/>
  <c r="C26" i="5"/>
  <c r="C30" s="1"/>
  <c r="D23"/>
  <c r="D24" s="1"/>
  <c r="D25" s="1"/>
  <c r="D26" s="1"/>
  <c r="D27" s="1"/>
  <c r="D28" s="1"/>
  <c r="D29" s="1"/>
  <c r="D30" s="1"/>
  <c r="D31" s="1"/>
  <c r="D32" s="1"/>
  <c r="C24"/>
  <c r="C28" s="1"/>
  <c r="C32" s="1"/>
  <c r="B26"/>
  <c r="B28" s="1"/>
  <c r="B30" s="1"/>
  <c r="B32" s="1"/>
  <c r="B18" i="9"/>
  <c r="C24"/>
</calcChain>
</file>

<file path=xl/sharedStrings.xml><?xml version="1.0" encoding="utf-8"?>
<sst xmlns="http://schemas.openxmlformats.org/spreadsheetml/2006/main" count="1017" uniqueCount="109">
  <si>
    <t>Unit</t>
  </si>
  <si>
    <t>Other Charges</t>
  </si>
  <si>
    <t>MONTH</t>
  </si>
  <si>
    <t>PRINCIPAL</t>
  </si>
  <si>
    <t>30days after reservation</t>
  </si>
  <si>
    <t>30days after DP</t>
  </si>
  <si>
    <t>prior to move-in</t>
  </si>
  <si>
    <t>Monthly Amortization (Fixed Rate)</t>
  </si>
  <si>
    <t>Any increase in fees and taxes related to the sale and title transfer at the time of registration of the sale shall be for the account of buyers.</t>
  </si>
  <si>
    <t>Prices and terms shown are subject to change without prior notice.</t>
  </si>
  <si>
    <t>**Real Estate Tax shall be included to the buyers from the date of acceptance or full payment.</t>
  </si>
  <si>
    <t>Conforme:</t>
  </si>
  <si>
    <t>House Type</t>
  </si>
  <si>
    <t xml:space="preserve">*Note : Other Charges are paid to different government agencies and were computed based on rulings effective as of date of reservation.  </t>
  </si>
  <si>
    <t>Electric Connection/Meter</t>
  </si>
  <si>
    <t>Water Connection/Meter</t>
  </si>
  <si>
    <t>CEI</t>
  </si>
  <si>
    <t xml:space="preserve">Name of Client : </t>
  </si>
  <si>
    <t>Less: Discount</t>
  </si>
  <si>
    <t>Lot Area (sqm)</t>
  </si>
  <si>
    <t>Date:</t>
  </si>
  <si>
    <t>Net Selling Price</t>
  </si>
  <si>
    <t>VAT &amp; OTHER CHARGES</t>
  </si>
  <si>
    <t>TOTAL</t>
  </si>
  <si>
    <t>Buyer</t>
  </si>
  <si>
    <t>Name of Seller</t>
  </si>
  <si>
    <t>Contact No.:</t>
  </si>
  <si>
    <t>CASH 30 days</t>
  </si>
  <si>
    <t>Lot</t>
  </si>
  <si>
    <t>LA</t>
  </si>
  <si>
    <t xml:space="preserve">TCP w/o VAT </t>
  </si>
  <si>
    <t>TCP</t>
  </si>
  <si>
    <t>***The seller reserves the right to correct any typographical error in the pricelist and shall not be liable for any damages arising from any error</t>
  </si>
  <si>
    <t>in the price, terms, and computation.</t>
  </si>
  <si>
    <t>Bank Financing</t>
  </si>
  <si>
    <t>Processing &amp; Misc. Fees</t>
  </si>
  <si>
    <t>Reservation Fee</t>
  </si>
  <si>
    <t>Prior to move-in</t>
  </si>
  <si>
    <t>30 days after reservation</t>
  </si>
  <si>
    <t>20%Spot Down Payment - 80% Bank Financing</t>
  </si>
  <si>
    <t>30%Spot Down Payment - 70% Bank Financing</t>
  </si>
  <si>
    <t>20% Down Payment (12 months) - 80% Bank Financing</t>
  </si>
  <si>
    <t>LA VERANDILLA RESIDENCES</t>
  </si>
  <si>
    <t>Total Selling Price</t>
  </si>
  <si>
    <t>Transfer Expenses</t>
  </si>
  <si>
    <t>(Documentary Stamp Tax, Transfer Tax, Registration &amp; Entry Fees)</t>
  </si>
  <si>
    <t>10% Spot Down Payment - 10% Down Payment (11 months) - 80% Bank Financing</t>
  </si>
  <si>
    <t>5% Spot Down Payment - 15% Down Payment (11 months) - 80% Bank Financing</t>
  </si>
  <si>
    <t>SOLD UNITS</t>
  </si>
  <si>
    <t>OLD FLOOR PLAN</t>
  </si>
  <si>
    <t>April 2016</t>
  </si>
  <si>
    <t>40%Spot Down Payment - 60% Bank Financing</t>
  </si>
  <si>
    <t>50%Spot Down Payment - 50% Bank Financing</t>
  </si>
  <si>
    <t>Less: Total Discount</t>
  </si>
  <si>
    <t>June 2016</t>
  </si>
  <si>
    <t>* Based on BPI rates as of February 8, 2015</t>
  </si>
  <si>
    <t xml:space="preserve">Monthly Amortization </t>
  </si>
  <si>
    <t>1-2 years (6%)</t>
  </si>
  <si>
    <t>3 years (6.25%)</t>
  </si>
  <si>
    <t>4-5 years (6.88%)</t>
  </si>
  <si>
    <t>10 years (8.50%)</t>
  </si>
  <si>
    <t>15 years (11.55%</t>
  </si>
  <si>
    <t xml:space="preserve">Townhouse </t>
  </si>
  <si>
    <t>TFA</t>
  </si>
  <si>
    <t>5% Spot Down Payment - 10% Down Payment (10 months) -5%Down Payment- 80% Bank Financing</t>
  </si>
  <si>
    <t>TEA</t>
  </si>
  <si>
    <t>OUA</t>
  </si>
  <si>
    <t>Enclosed Floor Area</t>
  </si>
  <si>
    <t>Other Usable Area</t>
  </si>
  <si>
    <t>Gross Area</t>
  </si>
  <si>
    <t>May 2016</t>
  </si>
  <si>
    <t>July 2016</t>
  </si>
  <si>
    <t>20% Down Payment (15 months) - 80% Bank Financing</t>
  </si>
  <si>
    <t>August 2016</t>
  </si>
  <si>
    <t>September 2016</t>
  </si>
  <si>
    <t>November 2016</t>
  </si>
  <si>
    <t>20% Down Payment (18 months) - 80% Bank Financing</t>
  </si>
  <si>
    <t>10%Spot Down Payment - 10% Down  Payment (14 months) - 80% Bank Financing</t>
  </si>
  <si>
    <t>5%Spot Down Payment - 15% Down  Payment (14 months) - 80% Bank Financing</t>
  </si>
  <si>
    <t>10%Spot Down Payment - 10% Down  Payment (17 months) - 80% Bank Financing</t>
  </si>
  <si>
    <t>October 2016</t>
  </si>
  <si>
    <t>December 2016</t>
  </si>
  <si>
    <t>5%Spot Down Payment - 15% Down  Payment (17 months) - 80% Bank Financing</t>
  </si>
  <si>
    <t>20% Down Payment (6 months) - 80% Bank Financing</t>
  </si>
  <si>
    <t>5% Spot Down Payment - 10% Down Payment (16 months) -5%Down Payment- 80% Bank Financing</t>
  </si>
  <si>
    <t>5% Spot Down Payment - 10% Down Payment (13 months) -5%Down Payment- 80% Bank Financing</t>
  </si>
  <si>
    <t>January 2017</t>
  </si>
  <si>
    <t>March 2017</t>
  </si>
  <si>
    <t>February 2017</t>
  </si>
  <si>
    <t>April 2017</t>
  </si>
  <si>
    <t>May 2017</t>
  </si>
  <si>
    <t>June 2017</t>
  </si>
  <si>
    <t>July 2017</t>
  </si>
  <si>
    <t>August 2017</t>
  </si>
  <si>
    <t>October 2017</t>
  </si>
  <si>
    <t>CENTRO ESTELLA RESIDENCES</t>
  </si>
  <si>
    <t>Unit 1</t>
  </si>
  <si>
    <t>Unit 2</t>
  </si>
  <si>
    <t>Unit 3</t>
  </si>
  <si>
    <t>Unit 4</t>
  </si>
  <si>
    <t>Unit 5</t>
  </si>
  <si>
    <t>Unit 6</t>
  </si>
  <si>
    <t>Utilities &amp; Processing Fee</t>
  </si>
  <si>
    <t>September 2017</t>
  </si>
  <si>
    <t>November 2017</t>
  </si>
  <si>
    <t>February 2016</t>
  </si>
  <si>
    <t>December 2017</t>
  </si>
  <si>
    <t>January 2018</t>
  </si>
  <si>
    <t>PRICELIST AS OF September 15, 2016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</si>
</sst>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5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color indexed="10"/>
      <name val="Arial"/>
      <family val="2"/>
    </font>
    <font>
      <sz val="11"/>
      <color indexed="8"/>
      <name val="Arial"/>
      <family val="2"/>
    </font>
    <font>
      <b/>
      <i/>
      <sz val="8"/>
      <color indexed="8"/>
      <name val="Arial"/>
      <family val="2"/>
    </font>
    <font>
      <b/>
      <i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94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4" fontId="0" fillId="0" borderId="0" xfId="0" applyNumberFormat="1"/>
    <xf numFmtId="0" fontId="2" fillId="0" borderId="4" xfId="0" applyFont="1" applyBorder="1" applyAlignment="1">
      <alignment horizontal="center"/>
    </xf>
    <xf numFmtId="4" fontId="2" fillId="0" borderId="4" xfId="0" applyNumberFormat="1" applyFont="1" applyBorder="1" applyAlignment="1">
      <alignment horizontal="center"/>
    </xf>
    <xf numFmtId="0" fontId="2" fillId="0" borderId="0" xfId="0" applyFont="1" applyBorder="1"/>
    <xf numFmtId="4" fontId="2" fillId="0" borderId="0" xfId="0" applyNumberFormat="1" applyFont="1"/>
    <xf numFmtId="4" fontId="2" fillId="0" borderId="0" xfId="0" applyNumberFormat="1" applyFont="1" applyAlignment="1">
      <alignment horizontal="left"/>
    </xf>
    <xf numFmtId="0" fontId="5" fillId="0" borderId="0" xfId="0" applyFont="1"/>
    <xf numFmtId="0" fontId="6" fillId="0" borderId="0" xfId="2" applyFont="1" applyFill="1" applyAlignment="1">
      <alignment horizontal="left"/>
    </xf>
    <xf numFmtId="0" fontId="6" fillId="0" borderId="0" xfId="2" applyFont="1" applyFill="1" applyBorder="1" applyAlignment="1">
      <alignment horizontal="left"/>
    </xf>
    <xf numFmtId="0" fontId="7" fillId="0" borderId="5" xfId="2" applyFont="1" applyFill="1" applyBorder="1" applyAlignment="1">
      <alignment horizontal="left"/>
    </xf>
    <xf numFmtId="0" fontId="0" fillId="0" borderId="0" xfId="0" applyAlignment="1">
      <alignment horizontal="center"/>
    </xf>
    <xf numFmtId="4" fontId="0" fillId="0" borderId="1" xfId="0" applyNumberFormat="1" applyBorder="1"/>
    <xf numFmtId="0" fontId="8" fillId="0" borderId="0" xfId="2" applyFont="1" applyFill="1" applyAlignment="1">
      <alignment horizontal="left"/>
    </xf>
    <xf numFmtId="0" fontId="7" fillId="0" borderId="0" xfId="2" applyFont="1" applyFill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0" fillId="0" borderId="3" xfId="0" applyBorder="1" applyAlignment="1">
      <alignment horizontal="center"/>
    </xf>
    <xf numFmtId="4" fontId="0" fillId="0" borderId="2" xfId="0" applyNumberForma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0" fillId="0" borderId="5" xfId="0" applyBorder="1"/>
    <xf numFmtId="0" fontId="6" fillId="0" borderId="0" xfId="2" applyFont="1" applyFill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4" fontId="0" fillId="0" borderId="0" xfId="0" applyNumberFormat="1" applyBorder="1"/>
    <xf numFmtId="0" fontId="0" fillId="0" borderId="0" xfId="0" applyBorder="1"/>
    <xf numFmtId="43" fontId="0" fillId="0" borderId="0" xfId="1" applyFont="1"/>
    <xf numFmtId="4" fontId="2" fillId="0" borderId="5" xfId="0" applyNumberFormat="1" applyFont="1" applyBorder="1"/>
    <xf numFmtId="0" fontId="1" fillId="0" borderId="0" xfId="0" applyFont="1"/>
    <xf numFmtId="0" fontId="0" fillId="0" borderId="0" xfId="0" applyFont="1" applyFill="1"/>
    <xf numFmtId="0" fontId="0" fillId="2" borderId="0" xfId="0" applyFill="1"/>
    <xf numFmtId="43" fontId="2" fillId="0" borderId="1" xfId="1" applyFont="1" applyBorder="1" applyAlignment="1" applyProtection="1">
      <alignment horizontal="center"/>
      <protection locked="0"/>
    </xf>
    <xf numFmtId="49" fontId="2" fillId="0" borderId="2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" fontId="2" fillId="0" borderId="12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/>
    <xf numFmtId="43" fontId="3" fillId="0" borderId="1" xfId="1" applyFont="1" applyBorder="1" applyAlignment="1" applyProtection="1">
      <alignment horizontal="center"/>
      <protection locked="0"/>
    </xf>
    <xf numFmtId="4" fontId="10" fillId="0" borderId="1" xfId="0" applyNumberFormat="1" applyFont="1" applyBorder="1"/>
    <xf numFmtId="4" fontId="2" fillId="0" borderId="9" xfId="0" applyNumberFormat="1" applyFont="1" applyBorder="1" applyAlignment="1">
      <alignment horizontal="center"/>
    </xf>
    <xf numFmtId="4" fontId="2" fillId="0" borderId="13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0" xfId="0" applyFill="1"/>
    <xf numFmtId="4" fontId="0" fillId="0" borderId="0" xfId="0" applyNumberFormat="1" applyFill="1"/>
    <xf numFmtId="0" fontId="0" fillId="0" borderId="1" xfId="0" applyFill="1" applyBorder="1" applyAlignment="1">
      <alignment horizontal="center"/>
    </xf>
    <xf numFmtId="4" fontId="0" fillId="0" borderId="1" xfId="0" applyNumberFormat="1" applyFill="1" applyBorder="1"/>
    <xf numFmtId="0" fontId="1" fillId="0" borderId="0" xfId="0" applyFont="1" applyFill="1"/>
    <xf numFmtId="0" fontId="1" fillId="0" borderId="1" xfId="0" applyFont="1" applyFill="1" applyBorder="1" applyAlignment="1">
      <alignment horizontal="center"/>
    </xf>
    <xf numFmtId="0" fontId="0" fillId="3" borderId="0" xfId="0" applyFill="1"/>
    <xf numFmtId="0" fontId="0" fillId="4" borderId="0" xfId="0" applyFill="1"/>
    <xf numFmtId="0" fontId="0" fillId="4" borderId="1" xfId="0" applyFill="1" applyBorder="1" applyAlignment="1">
      <alignment horizontal="center"/>
    </xf>
    <xf numFmtId="4" fontId="0" fillId="4" borderId="1" xfId="0" applyNumberFormat="1" applyFill="1" applyBorder="1"/>
    <xf numFmtId="0" fontId="0" fillId="4" borderId="0" xfId="0" applyFont="1" applyFill="1"/>
    <xf numFmtId="0" fontId="1" fillId="4" borderId="0" xfId="0" applyFont="1" applyFill="1"/>
    <xf numFmtId="0" fontId="0" fillId="5" borderId="0" xfId="0" applyFill="1"/>
    <xf numFmtId="0" fontId="1" fillId="4" borderId="0" xfId="0" applyFont="1" applyFill="1" applyBorder="1"/>
    <xf numFmtId="4" fontId="0" fillId="4" borderId="0" xfId="0" applyNumberFormat="1" applyFill="1" applyBorder="1"/>
    <xf numFmtId="0" fontId="0" fillId="4" borderId="0" xfId="0" applyFill="1" applyBorder="1" applyAlignment="1">
      <alignment horizont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4" fontId="12" fillId="0" borderId="0" xfId="0" applyNumberFormat="1" applyFont="1" applyAlignment="1">
      <alignment horizontal="left"/>
    </xf>
    <xf numFmtId="0" fontId="1" fillId="0" borderId="0" xfId="0" applyFont="1" applyFill="1" applyBorder="1"/>
    <xf numFmtId="4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4" fontId="0" fillId="4" borderId="1" xfId="0" applyNumberForma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1" xfId="0" applyFont="1" applyBorder="1" applyAlignment="1">
      <alignment horizontal="center"/>
    </xf>
  </cellXfs>
  <cellStyles count="3">
    <cellStyle name="Comma" xfId="1" builtinId="3"/>
    <cellStyle name="Normal" xfId="0" builtinId="0"/>
    <cellStyle name="Normal_OLP Computation 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597010</xdr:colOff>
      <xdr:row>3</xdr:row>
      <xdr:rowOff>152400</xdr:rowOff>
    </xdr:to>
    <xdr:pic>
      <xdr:nvPicPr>
        <xdr:cNvPr id="8195" name="Picture 1" descr="C:\Documents and Settings\Jennifer Dino\Desktop\Metrostar\metrostar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5527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619125</xdr:colOff>
      <xdr:row>3</xdr:row>
      <xdr:rowOff>114300</xdr:rowOff>
    </xdr:to>
    <xdr:pic>
      <xdr:nvPicPr>
        <xdr:cNvPr id="1028" name="Picture 1" descr="C:\Documents and Settings\Jennifer Dino\Desktop\Metrostar\metrostar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24765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685800</xdr:colOff>
      <xdr:row>4</xdr:row>
      <xdr:rowOff>9525</xdr:rowOff>
    </xdr:to>
    <xdr:pic>
      <xdr:nvPicPr>
        <xdr:cNvPr id="3" name="Picture 1" descr="C:\Documents and Settings\Jennifer Dino\Desktop\Metrostar\metrostar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56222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685800</xdr:colOff>
      <xdr:row>4</xdr:row>
      <xdr:rowOff>9525</xdr:rowOff>
    </xdr:to>
    <xdr:pic>
      <xdr:nvPicPr>
        <xdr:cNvPr id="4" name="Picture 1" descr="C:\Documents and Settings\Jennifer Dino\Desktop\Metrostar\metrostar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56222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685800</xdr:colOff>
      <xdr:row>4</xdr:row>
      <xdr:rowOff>9525</xdr:rowOff>
    </xdr:to>
    <xdr:pic>
      <xdr:nvPicPr>
        <xdr:cNvPr id="3" name="Picture 1" descr="C:\Documents and Settings\Jennifer Dino\Desktop\Metrostar\metrostar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56222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685800</xdr:colOff>
      <xdr:row>4</xdr:row>
      <xdr:rowOff>9525</xdr:rowOff>
    </xdr:to>
    <xdr:pic>
      <xdr:nvPicPr>
        <xdr:cNvPr id="3" name="Picture 1" descr="C:\Documents and Settings\Jennifer Dino\Desktop\Metrostar\metrostar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56222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685800</xdr:colOff>
      <xdr:row>4</xdr:row>
      <xdr:rowOff>9525</xdr:rowOff>
    </xdr:to>
    <xdr:pic>
      <xdr:nvPicPr>
        <xdr:cNvPr id="4" name="Picture 1" descr="C:\Documents and Settings\Jennifer Dino\Desktop\Metrostar\metrostar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56222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646017</xdr:colOff>
      <xdr:row>4</xdr:row>
      <xdr:rowOff>10725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560542" cy="65842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685800</xdr:colOff>
      <xdr:row>4</xdr:row>
      <xdr:rowOff>9525</xdr:rowOff>
    </xdr:to>
    <xdr:pic>
      <xdr:nvPicPr>
        <xdr:cNvPr id="3" name="Picture 1" descr="C:\Documents and Settings\Jennifer Dino\Desktop\Metrostar\metrostar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56222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646017</xdr:colOff>
      <xdr:row>4</xdr:row>
      <xdr:rowOff>10725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560542" cy="658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1</xdr:col>
      <xdr:colOff>644525</xdr:colOff>
      <xdr:row>4</xdr:row>
      <xdr:rowOff>25400</xdr:rowOff>
    </xdr:to>
    <xdr:pic>
      <xdr:nvPicPr>
        <xdr:cNvPr id="6147" name="Picture 1" descr="C:\Documents and Settings\Jennifer Dino\Desktop\Metrostar\metrostar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50"/>
          <a:ext cx="25495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644525</xdr:colOff>
      <xdr:row>3</xdr:row>
      <xdr:rowOff>152400</xdr:rowOff>
    </xdr:to>
    <xdr:pic>
      <xdr:nvPicPr>
        <xdr:cNvPr id="7171" name="Picture 1" descr="C:\Documents and Settings\Jennifer Dino\Desktop\Metrostar\metrostar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5527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643349</xdr:colOff>
      <xdr:row>3</xdr:row>
      <xdr:rowOff>142167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548349" cy="6279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643349</xdr:colOff>
      <xdr:row>3</xdr:row>
      <xdr:rowOff>142167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548349" cy="62794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649445</xdr:colOff>
      <xdr:row>3</xdr:row>
      <xdr:rowOff>160457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554445" cy="64623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685800</xdr:colOff>
      <xdr:row>4</xdr:row>
      <xdr:rowOff>9525</xdr:rowOff>
    </xdr:to>
    <xdr:pic>
      <xdr:nvPicPr>
        <xdr:cNvPr id="3075" name="Picture 1" descr="C:\Documents and Settings\Jennifer Dino\Desktop\Metrostar\metrostar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56222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685800</xdr:colOff>
      <xdr:row>4</xdr:row>
      <xdr:rowOff>9525</xdr:rowOff>
    </xdr:to>
    <xdr:pic>
      <xdr:nvPicPr>
        <xdr:cNvPr id="3" name="Picture 1" descr="C:\Documents and Settings\Jennifer Dino\Desktop\Metrostar\metrostar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56222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685800</xdr:colOff>
      <xdr:row>4</xdr:row>
      <xdr:rowOff>9525</xdr:rowOff>
    </xdr:to>
    <xdr:pic>
      <xdr:nvPicPr>
        <xdr:cNvPr id="3" name="Picture 1" descr="C:\Documents and Settings\Jennifer Dino\Desktop\Metrostar\metrostar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56222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N65"/>
  <sheetViews>
    <sheetView tabSelected="1" workbookViewId="0">
      <selection activeCell="H18" sqref="H18"/>
    </sheetView>
  </sheetViews>
  <sheetFormatPr defaultRowHeight="12.75"/>
  <cols>
    <col min="1" max="1" width="13.140625" customWidth="1"/>
    <col min="2" max="2" width="12.7109375" bestFit="1" customWidth="1"/>
    <col min="3" max="3" width="6.28515625" customWidth="1"/>
    <col min="4" max="4" width="11.5703125" customWidth="1"/>
    <col min="5" max="5" width="6.140625" customWidth="1"/>
    <col min="6" max="6" width="7.5703125" customWidth="1"/>
    <col min="7" max="7" width="6.140625" customWidth="1"/>
    <col min="8" max="8" width="7.28515625" customWidth="1"/>
    <col min="9" max="9" width="14.28515625" customWidth="1"/>
    <col min="10" max="10" width="14.85546875" customWidth="1"/>
    <col min="12" max="12" width="9.140625" customWidth="1"/>
    <col min="13" max="13" width="0.28515625" customWidth="1"/>
    <col min="14" max="14" width="0.140625" customWidth="1"/>
  </cols>
  <sheetData>
    <row r="1" spans="1:14">
      <c r="C1" s="42" t="s">
        <v>95</v>
      </c>
      <c r="D1" s="31"/>
      <c r="E1" s="33"/>
      <c r="F1" s="33"/>
      <c r="G1" s="33"/>
      <c r="M1" s="40">
        <v>2300000</v>
      </c>
      <c r="N1" s="40">
        <v>11496</v>
      </c>
    </row>
    <row r="2" spans="1:14">
      <c r="C2" s="42" t="s">
        <v>108</v>
      </c>
      <c r="D2" s="31"/>
      <c r="E2" s="33"/>
      <c r="F2" s="33"/>
      <c r="G2" s="33"/>
      <c r="M2" s="40">
        <v>2320000</v>
      </c>
      <c r="N2" s="40">
        <v>11586</v>
      </c>
    </row>
    <row r="3" spans="1:14">
      <c r="M3" s="40">
        <v>2340000</v>
      </c>
      <c r="N3" s="40">
        <v>11676</v>
      </c>
    </row>
    <row r="4" spans="1:14">
      <c r="A4" s="34"/>
      <c r="B4" s="19"/>
      <c r="C4" s="35" t="s">
        <v>28</v>
      </c>
      <c r="D4" s="35" t="s">
        <v>12</v>
      </c>
      <c r="E4" s="35" t="s">
        <v>29</v>
      </c>
      <c r="F4" s="35" t="s">
        <v>65</v>
      </c>
      <c r="G4" s="35" t="s">
        <v>66</v>
      </c>
      <c r="H4" s="35" t="s">
        <v>63</v>
      </c>
      <c r="I4" s="35" t="s">
        <v>30</v>
      </c>
      <c r="J4" s="35" t="s">
        <v>31</v>
      </c>
      <c r="K4" s="34"/>
      <c r="M4" s="40">
        <v>2360000</v>
      </c>
      <c r="N4" s="40">
        <v>11766</v>
      </c>
    </row>
    <row r="5" spans="1:14">
      <c r="A5" s="43" t="s">
        <v>96</v>
      </c>
      <c r="B5" s="57">
        <v>9495000</v>
      </c>
      <c r="C5" s="58">
        <v>1</v>
      </c>
      <c r="D5" s="61" t="s">
        <v>62</v>
      </c>
      <c r="E5" s="58">
        <v>52.28</v>
      </c>
      <c r="F5" s="82">
        <v>164.57</v>
      </c>
      <c r="G5" s="82">
        <v>5.51</v>
      </c>
      <c r="H5" s="82">
        <f>G5+F5</f>
        <v>170.07999999999998</v>
      </c>
      <c r="I5" s="65">
        <f>J5/1.12</f>
        <v>8477678.5714285709</v>
      </c>
      <c r="J5" s="59">
        <v>9495000</v>
      </c>
      <c r="K5" s="63"/>
      <c r="L5" s="56"/>
      <c r="M5" s="40">
        <v>2380000</v>
      </c>
      <c r="N5" s="40">
        <v>11856</v>
      </c>
    </row>
    <row r="6" spans="1:14">
      <c r="A6" s="66" t="s">
        <v>97</v>
      </c>
      <c r="B6" s="57">
        <v>9495000</v>
      </c>
      <c r="C6" s="64">
        <v>2</v>
      </c>
      <c r="D6" s="64" t="str">
        <f>D5</f>
        <v xml:space="preserve">Townhouse </v>
      </c>
      <c r="E6" s="58">
        <v>52.39</v>
      </c>
      <c r="F6" s="83">
        <v>164.73</v>
      </c>
      <c r="G6" s="83">
        <v>4.9000000000000004</v>
      </c>
      <c r="H6" s="83">
        <v>175.32</v>
      </c>
      <c r="I6" s="59">
        <f t="shared" ref="I6:I10" si="0">J6/1.12</f>
        <v>8477678.5714285709</v>
      </c>
      <c r="J6" s="59">
        <v>9495000</v>
      </c>
      <c r="K6" s="56"/>
      <c r="L6" s="56"/>
      <c r="M6" s="40">
        <v>2400000</v>
      </c>
      <c r="N6" s="40">
        <v>11946</v>
      </c>
    </row>
    <row r="7" spans="1:14">
      <c r="A7" s="67" t="s">
        <v>98</v>
      </c>
      <c r="B7" s="57">
        <v>9495000</v>
      </c>
      <c r="C7" s="64">
        <v>3</v>
      </c>
      <c r="D7" s="64" t="str">
        <f>D6</f>
        <v xml:space="preserve">Townhouse </v>
      </c>
      <c r="E7" s="58">
        <v>52.51</v>
      </c>
      <c r="F7" s="83">
        <v>164.92</v>
      </c>
      <c r="G7" s="83">
        <f>G6</f>
        <v>4.9000000000000004</v>
      </c>
      <c r="H7" s="83">
        <f>H6</f>
        <v>175.32</v>
      </c>
      <c r="I7" s="65">
        <f t="shared" si="0"/>
        <v>8477678.5714285709</v>
      </c>
      <c r="J7" s="59">
        <v>9495000</v>
      </c>
      <c r="K7" s="56"/>
      <c r="L7" s="56"/>
      <c r="M7" s="40">
        <v>2420000</v>
      </c>
      <c r="N7" s="40">
        <v>12036</v>
      </c>
    </row>
    <row r="8" spans="1:14">
      <c r="A8" s="67" t="s">
        <v>99</v>
      </c>
      <c r="B8" s="57">
        <v>9495000</v>
      </c>
      <c r="C8" s="64">
        <v>4</v>
      </c>
      <c r="D8" s="64" t="str">
        <f>D7</f>
        <v xml:space="preserve">Townhouse </v>
      </c>
      <c r="E8" s="58">
        <v>52.63</v>
      </c>
      <c r="F8" s="83">
        <v>165.04</v>
      </c>
      <c r="G8" s="83">
        <f t="shared" ref="G8:H10" si="1">G7</f>
        <v>4.9000000000000004</v>
      </c>
      <c r="H8" s="83">
        <f t="shared" si="1"/>
        <v>175.32</v>
      </c>
      <c r="I8" s="65">
        <f t="shared" si="0"/>
        <v>8477678.5714285709</v>
      </c>
      <c r="J8" s="59">
        <v>9495000</v>
      </c>
      <c r="K8" s="56"/>
      <c r="L8" s="56"/>
      <c r="M8" s="40">
        <v>2440000</v>
      </c>
      <c r="N8" s="40">
        <v>12126</v>
      </c>
    </row>
    <row r="9" spans="1:14">
      <c r="A9" s="60" t="s">
        <v>100</v>
      </c>
      <c r="B9" s="57">
        <v>9495000</v>
      </c>
      <c r="C9" s="58">
        <v>5</v>
      </c>
      <c r="D9" s="58" t="str">
        <f>D8</f>
        <v xml:space="preserve">Townhouse </v>
      </c>
      <c r="E9" s="58">
        <v>52.74</v>
      </c>
      <c r="F9" s="83">
        <v>165.27</v>
      </c>
      <c r="G9" s="83">
        <f t="shared" si="1"/>
        <v>4.9000000000000004</v>
      </c>
      <c r="H9" s="83">
        <f t="shared" si="1"/>
        <v>175.32</v>
      </c>
      <c r="I9" s="65">
        <f t="shared" si="0"/>
        <v>8477678.5714285709</v>
      </c>
      <c r="J9" s="59">
        <v>9495000</v>
      </c>
      <c r="K9" s="56"/>
      <c r="L9" s="56"/>
      <c r="M9" s="40">
        <v>2460000</v>
      </c>
      <c r="N9" s="40">
        <v>12216</v>
      </c>
    </row>
    <row r="10" spans="1:14">
      <c r="A10" s="60" t="s">
        <v>101</v>
      </c>
      <c r="B10" s="57">
        <v>9495000</v>
      </c>
      <c r="C10" s="58">
        <v>6</v>
      </c>
      <c r="D10" s="58" t="s">
        <v>62</v>
      </c>
      <c r="E10" s="58">
        <v>52.86</v>
      </c>
      <c r="F10" s="83">
        <v>165.57</v>
      </c>
      <c r="G10" s="83">
        <f t="shared" si="1"/>
        <v>4.9000000000000004</v>
      </c>
      <c r="H10" s="83">
        <f t="shared" si="1"/>
        <v>175.32</v>
      </c>
      <c r="I10" s="59">
        <f t="shared" si="0"/>
        <v>8477678.5714285709</v>
      </c>
      <c r="J10" s="59">
        <v>9495000</v>
      </c>
      <c r="K10" s="56"/>
      <c r="L10" s="56"/>
      <c r="M10" s="40">
        <v>2480000</v>
      </c>
      <c r="N10" s="40">
        <v>12306</v>
      </c>
    </row>
    <row r="11" spans="1:14">
      <c r="A11" s="76"/>
      <c r="B11" s="38"/>
      <c r="C11" s="37"/>
      <c r="D11" s="79"/>
      <c r="E11" s="78"/>
      <c r="F11" s="78"/>
      <c r="G11" s="78"/>
      <c r="H11" s="78"/>
      <c r="I11" s="77"/>
      <c r="J11" s="77"/>
      <c r="K11" s="56"/>
      <c r="L11" s="56"/>
      <c r="M11" s="40">
        <v>2620000</v>
      </c>
      <c r="N11" s="40">
        <v>12976</v>
      </c>
    </row>
    <row r="12" spans="1:14">
      <c r="A12" s="76"/>
      <c r="B12" s="38"/>
      <c r="C12" s="37"/>
      <c r="D12" s="79"/>
      <c r="E12" s="78"/>
      <c r="F12" s="78"/>
      <c r="G12" s="78"/>
      <c r="H12" s="78"/>
      <c r="I12" s="77"/>
      <c r="J12" s="77"/>
      <c r="K12" s="56"/>
      <c r="L12" s="56"/>
      <c r="M12" s="40">
        <v>2640000</v>
      </c>
      <c r="N12" s="40">
        <v>13026</v>
      </c>
    </row>
    <row r="13" spans="1:14">
      <c r="A13" s="76"/>
      <c r="B13" s="38"/>
      <c r="C13" s="37"/>
      <c r="D13" s="79"/>
      <c r="E13" s="78"/>
      <c r="F13" s="78"/>
      <c r="G13" s="78"/>
      <c r="H13" s="78"/>
      <c r="I13" s="77"/>
      <c r="J13" s="77"/>
      <c r="K13" s="56"/>
      <c r="L13" s="56"/>
      <c r="M13" s="40">
        <v>2660000</v>
      </c>
      <c r="N13" s="40">
        <v>13116</v>
      </c>
    </row>
    <row r="14" spans="1:14">
      <c r="A14" s="69"/>
      <c r="B14" s="70"/>
      <c r="C14" s="71"/>
      <c r="D14" s="71"/>
      <c r="E14" s="71"/>
      <c r="F14" s="71"/>
      <c r="G14" s="71"/>
      <c r="H14" s="71"/>
      <c r="I14" s="70"/>
      <c r="J14" s="70"/>
      <c r="K14" s="56"/>
      <c r="L14" s="56"/>
      <c r="M14" s="40">
        <v>2680000</v>
      </c>
      <c r="N14" s="40">
        <v>13206</v>
      </c>
    </row>
    <row r="15" spans="1:14">
      <c r="A15" s="76"/>
      <c r="B15" s="77"/>
      <c r="C15" s="78"/>
      <c r="D15" s="79"/>
      <c r="E15" s="78"/>
      <c r="F15" s="78"/>
      <c r="G15" s="78"/>
      <c r="H15" s="78"/>
      <c r="I15" s="77"/>
      <c r="J15" s="77"/>
      <c r="K15" s="56"/>
      <c r="L15" s="56"/>
      <c r="M15" s="40">
        <v>2700000</v>
      </c>
      <c r="N15" s="40">
        <v>13296</v>
      </c>
    </row>
    <row r="16" spans="1:14">
      <c r="A16" s="76"/>
      <c r="B16" s="38"/>
      <c r="C16" s="37"/>
      <c r="D16" s="79"/>
      <c r="E16" s="78"/>
      <c r="F16" s="78"/>
      <c r="G16" s="78"/>
      <c r="H16" s="78"/>
      <c r="I16" s="77"/>
      <c r="J16" s="77"/>
      <c r="K16" s="56"/>
      <c r="L16" s="56"/>
      <c r="M16" s="40">
        <v>2720000</v>
      </c>
      <c r="N16" s="40">
        <v>13386</v>
      </c>
    </row>
    <row r="17" spans="1:14">
      <c r="A17" s="76"/>
      <c r="B17" s="38"/>
      <c r="C17" s="37"/>
      <c r="D17" s="79"/>
      <c r="E17" s="78"/>
      <c r="F17" s="78"/>
      <c r="G17" s="78"/>
      <c r="H17" s="78"/>
      <c r="I17" s="77"/>
      <c r="J17" s="77"/>
      <c r="K17" s="56"/>
      <c r="L17" s="56"/>
      <c r="M17" s="40">
        <v>2740000</v>
      </c>
      <c r="N17" s="40">
        <v>13476</v>
      </c>
    </row>
    <row r="18" spans="1:14">
      <c r="A18" s="76"/>
      <c r="B18" s="38"/>
      <c r="C18" s="37"/>
      <c r="D18" s="79"/>
      <c r="E18" s="78"/>
      <c r="F18" s="78"/>
      <c r="G18" s="78"/>
      <c r="H18" s="78"/>
      <c r="I18" s="77"/>
      <c r="J18" s="77"/>
      <c r="K18" s="56"/>
      <c r="L18" s="56"/>
      <c r="M18" s="40">
        <v>2760000</v>
      </c>
      <c r="N18" s="40">
        <v>13566</v>
      </c>
    </row>
    <row r="19" spans="1:14">
      <c r="A19" s="76"/>
      <c r="B19" s="38"/>
      <c r="C19" s="37"/>
      <c r="D19" s="79"/>
      <c r="E19" s="37"/>
      <c r="F19" s="37"/>
      <c r="G19" s="37"/>
      <c r="H19" s="78"/>
      <c r="I19" s="38"/>
      <c r="J19" s="38"/>
      <c r="K19" s="56"/>
      <c r="L19" s="56"/>
      <c r="M19" s="40">
        <v>2780000</v>
      </c>
      <c r="N19" s="40">
        <v>13656</v>
      </c>
    </row>
    <row r="20" spans="1:14" s="44" customFormat="1">
      <c r="A20" s="76"/>
      <c r="B20" s="38"/>
      <c r="C20" s="37"/>
      <c r="D20" s="79"/>
      <c r="E20" s="37"/>
      <c r="F20" s="37"/>
      <c r="G20" s="37"/>
      <c r="H20" s="78"/>
      <c r="I20" s="38"/>
      <c r="J20" s="38"/>
      <c r="K20" s="56"/>
      <c r="L20" s="56"/>
      <c r="M20" s="40">
        <v>2800000</v>
      </c>
      <c r="N20" s="40">
        <v>13746</v>
      </c>
    </row>
    <row r="21" spans="1:14">
      <c r="A21" s="76"/>
      <c r="B21" s="38"/>
      <c r="C21" s="37"/>
      <c r="D21" s="79"/>
      <c r="E21" s="78"/>
      <c r="F21" s="78"/>
      <c r="G21" s="78"/>
      <c r="H21" s="78"/>
      <c r="I21" s="77"/>
      <c r="J21" s="77"/>
      <c r="K21" s="56"/>
      <c r="L21" s="56"/>
      <c r="M21" s="40">
        <v>2820000</v>
      </c>
      <c r="N21" s="40">
        <v>13836</v>
      </c>
    </row>
    <row r="22" spans="1:14">
      <c r="A22" s="76"/>
      <c r="B22" s="38"/>
      <c r="C22" s="37"/>
      <c r="D22" s="79"/>
      <c r="E22" s="78"/>
      <c r="F22" s="78"/>
      <c r="G22" s="78"/>
      <c r="H22" s="78"/>
      <c r="I22" s="77"/>
      <c r="J22" s="77"/>
      <c r="K22" s="56"/>
      <c r="L22" s="56"/>
      <c r="M22" s="40">
        <v>2840000</v>
      </c>
      <c r="N22" s="40">
        <v>13926</v>
      </c>
    </row>
    <row r="23" spans="1:14">
      <c r="A23" s="76"/>
      <c r="B23" s="38"/>
      <c r="C23" s="37"/>
      <c r="D23" s="79"/>
      <c r="E23" s="78"/>
      <c r="F23" s="78"/>
      <c r="G23" s="78"/>
      <c r="H23" s="78"/>
      <c r="I23" s="77"/>
      <c r="J23" s="77"/>
      <c r="K23" s="56"/>
      <c r="L23" s="56"/>
      <c r="M23" s="40">
        <v>2860000</v>
      </c>
      <c r="N23" s="40">
        <v>14016</v>
      </c>
    </row>
    <row r="24" spans="1:14">
      <c r="A24" s="76"/>
      <c r="B24" s="38"/>
      <c r="C24" s="37"/>
      <c r="D24" s="79"/>
      <c r="E24" s="78"/>
      <c r="F24" s="78"/>
      <c r="G24" s="78"/>
      <c r="H24" s="78"/>
      <c r="I24" s="77"/>
      <c r="J24" s="77"/>
      <c r="K24" s="56"/>
      <c r="L24" s="56"/>
      <c r="M24" s="40">
        <v>2880000</v>
      </c>
      <c r="N24" s="40">
        <v>14106</v>
      </c>
    </row>
    <row r="25" spans="1:14">
      <c r="A25" s="76"/>
      <c r="B25" s="38"/>
      <c r="C25" s="37"/>
      <c r="D25" s="79"/>
      <c r="E25" s="37"/>
      <c r="F25" s="37"/>
      <c r="G25" s="37"/>
      <c r="H25" s="78"/>
      <c r="I25" s="38"/>
      <c r="J25" s="38"/>
      <c r="K25" s="56"/>
      <c r="L25" s="56"/>
      <c r="M25" s="40">
        <v>2900000</v>
      </c>
      <c r="N25" s="40">
        <v>14196</v>
      </c>
    </row>
    <row r="26" spans="1:14">
      <c r="K26" s="56"/>
      <c r="L26" s="56"/>
      <c r="M26" s="40">
        <v>2920000</v>
      </c>
      <c r="N26" s="40">
        <v>14286</v>
      </c>
    </row>
    <row r="27" spans="1:14">
      <c r="A27" s="69"/>
      <c r="B27" s="70"/>
      <c r="C27" s="71"/>
      <c r="D27" s="71"/>
      <c r="E27" s="71"/>
      <c r="F27" s="71"/>
      <c r="G27" s="71"/>
      <c r="H27" s="71"/>
      <c r="I27" s="70"/>
      <c r="J27" s="70"/>
      <c r="K27" s="56"/>
      <c r="L27" s="56"/>
      <c r="M27" s="40">
        <v>2940000</v>
      </c>
      <c r="N27" s="40">
        <v>14376</v>
      </c>
    </row>
    <row r="28" spans="1:14">
      <c r="K28" s="56"/>
      <c r="L28" s="56"/>
      <c r="M28" s="40">
        <v>2960000</v>
      </c>
      <c r="N28" s="40">
        <v>14466</v>
      </c>
    </row>
    <row r="29" spans="1:14">
      <c r="K29" s="56"/>
      <c r="L29" s="56"/>
      <c r="M29" s="40">
        <v>2980000</v>
      </c>
      <c r="N29" s="40">
        <v>14556</v>
      </c>
    </row>
    <row r="30" spans="1:14">
      <c r="M30" s="40">
        <v>3000000</v>
      </c>
      <c r="N30" s="40">
        <v>14646</v>
      </c>
    </row>
    <row r="31" spans="1:14">
      <c r="M31" s="40">
        <v>3020000</v>
      </c>
      <c r="N31" s="40">
        <v>14736</v>
      </c>
    </row>
    <row r="32" spans="1:14">
      <c r="M32" s="40">
        <v>3040000</v>
      </c>
      <c r="N32" s="40">
        <v>14826</v>
      </c>
    </row>
    <row r="33" spans="1:14">
      <c r="M33" s="40">
        <v>3060000</v>
      </c>
      <c r="N33" s="40">
        <v>14916</v>
      </c>
    </row>
    <row r="34" spans="1:14">
      <c r="M34" s="40">
        <v>3080000</v>
      </c>
      <c r="N34" s="40">
        <v>15006</v>
      </c>
    </row>
    <row r="35" spans="1:14">
      <c r="M35" s="40">
        <v>3100000</v>
      </c>
      <c r="N35" s="40">
        <v>15096</v>
      </c>
    </row>
    <row r="36" spans="1:14">
      <c r="M36" s="40">
        <v>3120000</v>
      </c>
      <c r="N36" s="40">
        <v>15186</v>
      </c>
    </row>
    <row r="37" spans="1:14">
      <c r="M37" s="40">
        <v>3140000</v>
      </c>
      <c r="N37" s="40">
        <v>15276</v>
      </c>
    </row>
    <row r="38" spans="1:14">
      <c r="M38" s="40">
        <v>3160000</v>
      </c>
      <c r="N38" s="40">
        <v>15386</v>
      </c>
    </row>
    <row r="39" spans="1:14">
      <c r="M39" s="40">
        <v>3180000</v>
      </c>
      <c r="N39" s="40">
        <v>15456</v>
      </c>
    </row>
    <row r="40" spans="1:14">
      <c r="B40" s="9"/>
      <c r="C40" s="37"/>
      <c r="D40" s="37"/>
      <c r="E40" s="37"/>
      <c r="F40" s="37"/>
      <c r="G40" s="37"/>
      <c r="H40" s="37"/>
      <c r="I40" s="38"/>
      <c r="J40" s="38"/>
      <c r="M40" s="40">
        <v>3200000</v>
      </c>
      <c r="N40" s="40">
        <v>15546</v>
      </c>
    </row>
    <row r="41" spans="1:14">
      <c r="C41" s="37"/>
      <c r="D41" s="37"/>
      <c r="E41" s="37"/>
      <c r="F41" s="37"/>
      <c r="G41" s="37"/>
      <c r="H41" s="37"/>
      <c r="I41" s="38"/>
      <c r="J41" s="38"/>
      <c r="M41" s="40">
        <v>3220000</v>
      </c>
      <c r="N41" s="40">
        <v>15636</v>
      </c>
    </row>
    <row r="42" spans="1:14">
      <c r="A42" s="68"/>
      <c r="B42" t="s">
        <v>48</v>
      </c>
      <c r="C42" s="37"/>
      <c r="D42" s="37"/>
      <c r="E42" s="37"/>
      <c r="F42" s="37"/>
      <c r="G42" s="37"/>
      <c r="H42" s="37"/>
      <c r="I42" s="38"/>
      <c r="J42" s="38"/>
      <c r="M42" s="40">
        <v>3240000</v>
      </c>
      <c r="N42" s="40">
        <v>15726</v>
      </c>
    </row>
    <row r="43" spans="1:14">
      <c r="A43" s="63"/>
      <c r="C43" s="37"/>
      <c r="D43" s="37"/>
      <c r="E43" s="37"/>
      <c r="F43" s="37"/>
      <c r="G43" s="37"/>
      <c r="H43" s="37"/>
      <c r="I43" s="38"/>
      <c r="J43" s="38"/>
      <c r="M43" s="40">
        <v>3260000</v>
      </c>
      <c r="N43" s="40">
        <v>15816</v>
      </c>
    </row>
    <row r="44" spans="1:14">
      <c r="A44" s="62"/>
      <c r="B44" t="s">
        <v>49</v>
      </c>
      <c r="C44" s="37"/>
      <c r="D44" s="37"/>
      <c r="E44" s="37"/>
      <c r="F44" s="37"/>
      <c r="G44" s="37"/>
      <c r="H44" s="37"/>
      <c r="I44" s="38"/>
      <c r="J44" s="38"/>
      <c r="M44" s="40">
        <v>3280000</v>
      </c>
      <c r="N44" s="40">
        <v>15906</v>
      </c>
    </row>
    <row r="45" spans="1:14">
      <c r="C45" s="37"/>
      <c r="D45" s="37"/>
      <c r="E45" s="37"/>
      <c r="F45" s="37"/>
      <c r="G45" s="37"/>
      <c r="H45" s="37"/>
      <c r="I45" s="38"/>
      <c r="J45" s="38"/>
      <c r="M45" s="40">
        <v>3300000</v>
      </c>
      <c r="N45" s="40">
        <v>15996</v>
      </c>
    </row>
    <row r="46" spans="1:14">
      <c r="C46" s="37"/>
      <c r="D46" s="37"/>
      <c r="E46" s="37"/>
      <c r="F46" s="37"/>
      <c r="G46" s="37"/>
      <c r="H46" s="37"/>
      <c r="I46" s="38"/>
      <c r="J46" s="38"/>
    </row>
    <row r="47" spans="1:14">
      <c r="C47" s="37"/>
      <c r="D47" s="37"/>
      <c r="E47" s="37"/>
      <c r="F47" s="37"/>
      <c r="G47" s="37"/>
      <c r="H47" s="37"/>
      <c r="I47" s="38"/>
      <c r="J47" s="38"/>
    </row>
    <row r="48" spans="1:14">
      <c r="C48" s="37"/>
      <c r="D48" s="37"/>
      <c r="E48" s="37"/>
      <c r="F48" s="37"/>
      <c r="G48" s="37"/>
      <c r="H48" s="37"/>
      <c r="I48" s="38"/>
      <c r="J48" s="38"/>
    </row>
    <row r="49" spans="3:10">
      <c r="C49" s="37"/>
      <c r="D49" s="37"/>
      <c r="E49" s="37"/>
      <c r="F49" s="37"/>
      <c r="G49" s="37"/>
      <c r="H49" s="37"/>
      <c r="I49" s="38"/>
      <c r="J49" s="38"/>
    </row>
    <row r="50" spans="3:10">
      <c r="C50" s="37"/>
      <c r="D50" s="37"/>
      <c r="E50" s="37"/>
      <c r="F50" s="37"/>
      <c r="G50" s="37"/>
      <c r="H50" s="37"/>
      <c r="I50" s="38"/>
      <c r="J50" s="38"/>
    </row>
    <row r="51" spans="3:10">
      <c r="C51" s="37"/>
      <c r="D51" s="37"/>
      <c r="E51" s="37"/>
      <c r="F51" s="37"/>
      <c r="G51" s="37"/>
      <c r="H51" s="37"/>
      <c r="I51" s="38"/>
      <c r="J51" s="38"/>
    </row>
    <row r="52" spans="3:10">
      <c r="C52" s="37"/>
      <c r="D52" s="37"/>
      <c r="E52" s="37"/>
      <c r="F52" s="37"/>
      <c r="G52" s="37"/>
      <c r="H52" s="37"/>
      <c r="I52" s="38"/>
      <c r="J52" s="38"/>
    </row>
    <row r="53" spans="3:10">
      <c r="C53" s="37"/>
      <c r="D53" s="37"/>
      <c r="E53" s="37"/>
      <c r="F53" s="37"/>
      <c r="G53" s="37"/>
      <c r="H53" s="37"/>
      <c r="I53" s="38"/>
      <c r="J53" s="38"/>
    </row>
    <row r="54" spans="3:10">
      <c r="C54" s="37"/>
      <c r="D54" s="37"/>
      <c r="E54" s="37"/>
      <c r="F54" s="37"/>
      <c r="G54" s="37"/>
      <c r="H54" s="37"/>
      <c r="I54" s="38"/>
      <c r="J54" s="38"/>
    </row>
    <row r="55" spans="3:10">
      <c r="C55" s="37"/>
      <c r="D55" s="37"/>
      <c r="E55" s="37"/>
      <c r="F55" s="37"/>
      <c r="G55" s="37"/>
      <c r="H55" s="37"/>
      <c r="I55" s="38"/>
      <c r="J55" s="38"/>
    </row>
    <row r="56" spans="3:10">
      <c r="C56" s="37"/>
      <c r="D56" s="37"/>
      <c r="E56" s="37"/>
      <c r="F56" s="37"/>
      <c r="G56" s="37"/>
      <c r="H56" s="37"/>
      <c r="I56" s="38"/>
      <c r="J56" s="38"/>
    </row>
    <row r="57" spans="3:10">
      <c r="C57" s="37"/>
      <c r="D57" s="37"/>
      <c r="E57" s="37"/>
      <c r="F57" s="37"/>
      <c r="G57" s="37"/>
      <c r="H57" s="37"/>
      <c r="I57" s="38"/>
      <c r="J57" s="38"/>
    </row>
    <row r="58" spans="3:10">
      <c r="C58" s="37"/>
      <c r="D58" s="37"/>
      <c r="E58" s="37"/>
      <c r="F58" s="37"/>
      <c r="G58" s="37"/>
      <c r="H58" s="37"/>
      <c r="I58" s="38"/>
      <c r="J58" s="38"/>
    </row>
    <row r="59" spans="3:10">
      <c r="C59" s="37"/>
      <c r="D59" s="37"/>
      <c r="E59" s="37"/>
      <c r="F59" s="37"/>
      <c r="G59" s="37"/>
      <c r="H59" s="37"/>
      <c r="I59" s="38"/>
      <c r="J59" s="38"/>
    </row>
    <row r="60" spans="3:10">
      <c r="C60" s="37"/>
      <c r="D60" s="37"/>
      <c r="E60" s="37"/>
      <c r="F60" s="37"/>
      <c r="G60" s="37"/>
      <c r="H60" s="37"/>
      <c r="I60" s="38"/>
      <c r="J60" s="38"/>
    </row>
    <row r="61" spans="3:10">
      <c r="C61" s="37"/>
      <c r="D61" s="37"/>
      <c r="E61" s="37"/>
      <c r="F61" s="37"/>
      <c r="G61" s="37"/>
      <c r="H61" s="37"/>
      <c r="I61" s="38"/>
      <c r="J61" s="38"/>
    </row>
    <row r="62" spans="3:10">
      <c r="C62" s="39"/>
      <c r="D62" s="39"/>
      <c r="E62" s="39"/>
      <c r="F62" s="39"/>
      <c r="G62" s="39"/>
      <c r="H62" s="39"/>
      <c r="I62" s="38"/>
      <c r="J62" s="38"/>
    </row>
    <row r="63" spans="3:10">
      <c r="C63" s="39"/>
      <c r="D63" s="39"/>
      <c r="E63" s="39"/>
      <c r="F63" s="39"/>
      <c r="G63" s="39"/>
      <c r="H63" s="39"/>
      <c r="I63" s="38"/>
      <c r="J63" s="38"/>
    </row>
    <row r="64" spans="3:10">
      <c r="C64" s="39"/>
      <c r="D64" s="39"/>
      <c r="E64" s="39"/>
      <c r="F64" s="39"/>
      <c r="G64" s="39"/>
      <c r="H64" s="39"/>
      <c r="I64" s="39"/>
      <c r="J64" s="39"/>
    </row>
    <row r="65" spans="3:10">
      <c r="C65" s="39"/>
      <c r="D65" s="39"/>
      <c r="E65" s="39"/>
      <c r="F65" s="39"/>
      <c r="G65" s="39"/>
      <c r="H65" s="39"/>
      <c r="I65" s="39"/>
      <c r="J65" s="39"/>
    </row>
  </sheetData>
  <sheetProtection password="CC38" sheet="1" objects="1" scenarios="1"/>
  <phoneticPr fontId="9" type="noConversion"/>
  <pageMargins left="0.75" right="0.7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6:E73"/>
  <sheetViews>
    <sheetView topLeftCell="A16" workbookViewId="0">
      <selection activeCell="A20" sqref="A20:A40"/>
    </sheetView>
  </sheetViews>
  <sheetFormatPr defaultRowHeight="12.75"/>
  <cols>
    <col min="1" max="1" width="28.140625" customWidth="1"/>
    <col min="2" max="2" width="17.42578125" customWidth="1"/>
    <col min="3" max="3" width="22.85546875" customWidth="1"/>
    <col min="4" max="4" width="17" customWidth="1"/>
    <col min="6" max="6" width="10.85546875" customWidth="1"/>
  </cols>
  <sheetData>
    <row r="6" spans="1:4">
      <c r="A6" s="1" t="s">
        <v>17</v>
      </c>
      <c r="B6" s="1"/>
      <c r="C6" s="1"/>
      <c r="D6" s="1" t="s">
        <v>20</v>
      </c>
    </row>
    <row r="7" spans="1:4">
      <c r="A7" s="1"/>
      <c r="B7" s="1"/>
      <c r="C7" s="1"/>
      <c r="D7" s="1"/>
    </row>
    <row r="8" spans="1:4">
      <c r="A8" s="84" t="s">
        <v>42</v>
      </c>
      <c r="B8" s="85"/>
      <c r="C8" s="1"/>
      <c r="D8" s="1"/>
    </row>
    <row r="9" spans="1:4">
      <c r="A9" s="2" t="s">
        <v>0</v>
      </c>
      <c r="B9" s="3" t="str">
        <f>Cash30!B9</f>
        <v>Unit 1</v>
      </c>
      <c r="C9" s="1"/>
      <c r="D9" s="1"/>
    </row>
    <row r="10" spans="1:4">
      <c r="A10" s="2" t="s">
        <v>12</v>
      </c>
      <c r="B10" s="36" t="str">
        <f>VLOOKUP(B9,Price!A:D,4,FALSE)</f>
        <v xml:space="preserve">Townhouse </v>
      </c>
      <c r="C10" s="1"/>
      <c r="D10" s="1"/>
    </row>
    <row r="11" spans="1:4">
      <c r="A11" s="2" t="s">
        <v>19</v>
      </c>
      <c r="B11" s="36">
        <f>VLOOKUP(B9,Price!A:E,5,FALSE)</f>
        <v>52.28</v>
      </c>
      <c r="C11" s="1"/>
      <c r="D11" s="1"/>
    </row>
    <row r="12" spans="1:4">
      <c r="A12" s="2" t="s">
        <v>67</v>
      </c>
      <c r="B12" s="3">
        <f>VLOOKUP(B9,Price!A:F,6,FALSE)</f>
        <v>164.57</v>
      </c>
      <c r="C12" s="1"/>
      <c r="D12" s="1"/>
    </row>
    <row r="13" spans="1:4">
      <c r="A13" s="2" t="s">
        <v>68</v>
      </c>
      <c r="B13" s="3">
        <f>VLOOKUP(B9,Price!A:G,7,FALSE)</f>
        <v>5.51</v>
      </c>
      <c r="C13" s="1"/>
      <c r="D13" s="1"/>
    </row>
    <row r="14" spans="1:4">
      <c r="A14" s="2" t="s">
        <v>69</v>
      </c>
      <c r="B14" s="3">
        <f>VLOOKUP(B9,Price!A:H,8,FALSE)</f>
        <v>170.07999999999998</v>
      </c>
      <c r="C14" s="13"/>
      <c r="D14" s="1"/>
    </row>
    <row r="15" spans="1:4">
      <c r="A15" s="2" t="s">
        <v>43</v>
      </c>
      <c r="B15" s="45">
        <f>VLOOKUP(B9,Price!A:J,10,FALSE)</f>
        <v>9495000</v>
      </c>
      <c r="C15" s="1"/>
      <c r="D15" s="1"/>
    </row>
    <row r="16" spans="1:4">
      <c r="A16" s="2" t="s">
        <v>1</v>
      </c>
      <c r="B16" s="4">
        <f>B47</f>
        <v>325522.93714285718</v>
      </c>
      <c r="C16" s="1"/>
      <c r="D16" s="1"/>
    </row>
    <row r="17" spans="1:5">
      <c r="A17" s="1"/>
      <c r="B17" s="1"/>
      <c r="C17" s="1"/>
      <c r="D17" s="1"/>
    </row>
    <row r="18" spans="1:5">
      <c r="A18" s="86" t="s">
        <v>76</v>
      </c>
      <c r="B18" s="87"/>
      <c r="C18" s="87"/>
      <c r="D18" s="88"/>
    </row>
    <row r="19" spans="1:5">
      <c r="A19" s="5" t="s">
        <v>2</v>
      </c>
      <c r="B19" s="5" t="s">
        <v>3</v>
      </c>
      <c r="C19" s="81" t="s">
        <v>22</v>
      </c>
      <c r="D19" s="5" t="s">
        <v>23</v>
      </c>
    </row>
    <row r="20" spans="1:5">
      <c r="A20" s="46" t="s">
        <v>50</v>
      </c>
      <c r="B20" s="7">
        <v>50000</v>
      </c>
      <c r="C20" s="25"/>
      <c r="D20" s="8">
        <f>B20</f>
        <v>50000</v>
      </c>
      <c r="E20" s="1" t="s">
        <v>36</v>
      </c>
    </row>
    <row r="21" spans="1:5">
      <c r="A21" s="46" t="s">
        <v>70</v>
      </c>
      <c r="B21" s="8">
        <f>D21/1.12</f>
        <v>91716.269841269823</v>
      </c>
      <c r="C21" s="26">
        <f>B21*12%</f>
        <v>11005.952380952378</v>
      </c>
      <c r="D21" s="8">
        <f>(B15*20%-D20)/18</f>
        <v>102722.22222222222</v>
      </c>
      <c r="E21" s="1" t="s">
        <v>4</v>
      </c>
    </row>
    <row r="22" spans="1:5">
      <c r="A22" s="46" t="s">
        <v>54</v>
      </c>
      <c r="B22" s="8">
        <f>B21</f>
        <v>91716.269841269823</v>
      </c>
      <c r="C22" s="26">
        <f>C21</f>
        <v>11005.952380952378</v>
      </c>
      <c r="D22" s="8">
        <f>B22+C22</f>
        <v>102722.2222222222</v>
      </c>
      <c r="E22" s="1" t="s">
        <v>5</v>
      </c>
    </row>
    <row r="23" spans="1:5">
      <c r="A23" s="46" t="s">
        <v>71</v>
      </c>
      <c r="B23" s="8">
        <f>B22</f>
        <v>91716.269841269823</v>
      </c>
      <c r="C23" s="8">
        <f>C22</f>
        <v>11005.952380952378</v>
      </c>
      <c r="D23" s="8">
        <f>D22</f>
        <v>102722.2222222222</v>
      </c>
    </row>
    <row r="24" spans="1:5">
      <c r="A24" s="46" t="s">
        <v>73</v>
      </c>
      <c r="B24" s="8">
        <f>B23</f>
        <v>91716.269841269823</v>
      </c>
      <c r="C24" s="8">
        <f>C22</f>
        <v>11005.952380952378</v>
      </c>
      <c r="D24" s="8">
        <f t="shared" ref="D24:D32" si="0">D23</f>
        <v>102722.2222222222</v>
      </c>
    </row>
    <row r="25" spans="1:5">
      <c r="A25" s="46" t="s">
        <v>74</v>
      </c>
      <c r="B25" s="8">
        <f>B24</f>
        <v>91716.269841269823</v>
      </c>
      <c r="C25" s="8">
        <f>C22</f>
        <v>11005.952380952378</v>
      </c>
      <c r="D25" s="8">
        <f t="shared" si="0"/>
        <v>102722.2222222222</v>
      </c>
    </row>
    <row r="26" spans="1:5">
      <c r="A26" s="46" t="s">
        <v>80</v>
      </c>
      <c r="B26" s="8">
        <f>B25</f>
        <v>91716.269841269823</v>
      </c>
      <c r="C26" s="8">
        <f>C22</f>
        <v>11005.952380952378</v>
      </c>
      <c r="D26" s="8">
        <f t="shared" si="0"/>
        <v>102722.2222222222</v>
      </c>
    </row>
    <row r="27" spans="1:5">
      <c r="A27" s="46" t="s">
        <v>75</v>
      </c>
      <c r="B27" s="8">
        <f t="shared" ref="B27:B32" si="1">B25</f>
        <v>91716.269841269823</v>
      </c>
      <c r="C27" s="8">
        <f t="shared" ref="C27:C32" si="2">C23</f>
        <v>11005.952380952378</v>
      </c>
      <c r="D27" s="8">
        <f t="shared" si="0"/>
        <v>102722.2222222222</v>
      </c>
    </row>
    <row r="28" spans="1:5">
      <c r="A28" s="46" t="s">
        <v>81</v>
      </c>
      <c r="B28" s="8">
        <f t="shared" si="1"/>
        <v>91716.269841269823</v>
      </c>
      <c r="C28" s="8">
        <f t="shared" si="2"/>
        <v>11005.952380952378</v>
      </c>
      <c r="D28" s="8">
        <f t="shared" si="0"/>
        <v>102722.2222222222</v>
      </c>
    </row>
    <row r="29" spans="1:5">
      <c r="A29" s="46" t="s">
        <v>86</v>
      </c>
      <c r="B29" s="8">
        <f t="shared" si="1"/>
        <v>91716.269841269823</v>
      </c>
      <c r="C29" s="8">
        <f t="shared" si="2"/>
        <v>11005.952380952378</v>
      </c>
      <c r="D29" s="8">
        <f t="shared" si="0"/>
        <v>102722.2222222222</v>
      </c>
    </row>
    <row r="30" spans="1:5">
      <c r="A30" s="46" t="s">
        <v>88</v>
      </c>
      <c r="B30" s="8">
        <f t="shared" si="1"/>
        <v>91716.269841269823</v>
      </c>
      <c r="C30" s="8">
        <f t="shared" si="2"/>
        <v>11005.952380952378</v>
      </c>
      <c r="D30" s="8">
        <f t="shared" si="0"/>
        <v>102722.2222222222</v>
      </c>
    </row>
    <row r="31" spans="1:5">
      <c r="A31" s="46" t="s">
        <v>87</v>
      </c>
      <c r="B31" s="8">
        <f t="shared" si="1"/>
        <v>91716.269841269823</v>
      </c>
      <c r="C31" s="8">
        <f t="shared" si="2"/>
        <v>11005.952380952378</v>
      </c>
      <c r="D31" s="8">
        <f t="shared" si="0"/>
        <v>102722.2222222222</v>
      </c>
    </row>
    <row r="32" spans="1:5">
      <c r="A32" s="46" t="s">
        <v>89</v>
      </c>
      <c r="B32" s="8">
        <f t="shared" si="1"/>
        <v>91716.269841269823</v>
      </c>
      <c r="C32" s="8">
        <f t="shared" si="2"/>
        <v>11005.952380952378</v>
      </c>
      <c r="D32" s="8">
        <f t="shared" si="0"/>
        <v>102722.2222222222</v>
      </c>
    </row>
    <row r="33" spans="1:5">
      <c r="A33" s="46" t="s">
        <v>90</v>
      </c>
      <c r="B33" s="8">
        <f t="shared" ref="B33:D38" si="3">B32</f>
        <v>91716.269841269823</v>
      </c>
      <c r="C33" s="8">
        <f t="shared" si="3"/>
        <v>11005.952380952378</v>
      </c>
      <c r="D33" s="8">
        <f t="shared" si="3"/>
        <v>102722.2222222222</v>
      </c>
    </row>
    <row r="34" spans="1:5">
      <c r="A34" s="46" t="s">
        <v>91</v>
      </c>
      <c r="B34" s="8">
        <f t="shared" si="3"/>
        <v>91716.269841269823</v>
      </c>
      <c r="C34" s="8">
        <f t="shared" si="3"/>
        <v>11005.952380952378</v>
      </c>
      <c r="D34" s="8">
        <f t="shared" si="3"/>
        <v>102722.2222222222</v>
      </c>
    </row>
    <row r="35" spans="1:5">
      <c r="A35" s="46" t="s">
        <v>92</v>
      </c>
      <c r="B35" s="8">
        <f t="shared" si="3"/>
        <v>91716.269841269823</v>
      </c>
      <c r="C35" s="8">
        <f t="shared" si="3"/>
        <v>11005.952380952378</v>
      </c>
      <c r="D35" s="8">
        <f t="shared" si="3"/>
        <v>102722.2222222222</v>
      </c>
    </row>
    <row r="36" spans="1:5">
      <c r="A36" s="46" t="s">
        <v>93</v>
      </c>
      <c r="B36" s="8">
        <f t="shared" si="3"/>
        <v>91716.269841269823</v>
      </c>
      <c r="C36" s="8">
        <f t="shared" si="3"/>
        <v>11005.952380952378</v>
      </c>
      <c r="D36" s="8">
        <f t="shared" si="3"/>
        <v>102722.2222222222</v>
      </c>
    </row>
    <row r="37" spans="1:5">
      <c r="A37" s="46" t="s">
        <v>103</v>
      </c>
      <c r="B37" s="8">
        <f t="shared" si="3"/>
        <v>91716.269841269823</v>
      </c>
      <c r="C37" s="8">
        <f t="shared" si="3"/>
        <v>11005.952380952378</v>
      </c>
      <c r="D37" s="8">
        <f t="shared" si="3"/>
        <v>102722.2222222222</v>
      </c>
    </row>
    <row r="38" spans="1:5">
      <c r="A38" s="46" t="s">
        <v>94</v>
      </c>
      <c r="B38" s="8">
        <f t="shared" si="3"/>
        <v>91716.269841269823</v>
      </c>
      <c r="C38" s="8">
        <f t="shared" si="3"/>
        <v>11005.952380952378</v>
      </c>
      <c r="D38" s="8">
        <f t="shared" si="3"/>
        <v>102722.2222222222</v>
      </c>
    </row>
    <row r="39" spans="1:5">
      <c r="A39" s="46"/>
      <c r="B39" s="8"/>
      <c r="C39" s="26">
        <f>B47</f>
        <v>325522.93714285718</v>
      </c>
      <c r="D39" s="8">
        <f>B47</f>
        <v>325522.93714285718</v>
      </c>
      <c r="E39" s="24" t="s">
        <v>6</v>
      </c>
    </row>
    <row r="40" spans="1:5">
      <c r="A40" s="47" t="s">
        <v>104</v>
      </c>
      <c r="B40" s="11">
        <f>D40/1.12</f>
        <v>6782142.8571428563</v>
      </c>
      <c r="C40" s="27">
        <f>B40*12%</f>
        <v>813857.14285714272</v>
      </c>
      <c r="D40" s="11">
        <f>B15*80%</f>
        <v>7596000</v>
      </c>
      <c r="E40" s="28" t="s">
        <v>34</v>
      </c>
    </row>
    <row r="41" spans="1:5">
      <c r="A41" s="12"/>
      <c r="B41" s="12"/>
      <c r="C41" s="1"/>
      <c r="D41" s="1"/>
    </row>
    <row r="42" spans="1:5">
      <c r="A42" s="1" t="s">
        <v>44</v>
      </c>
      <c r="B42" s="13">
        <f>B15/1.12*3%</f>
        <v>254330.35714285713</v>
      </c>
      <c r="C42" s="1" t="s">
        <v>45</v>
      </c>
      <c r="D42" s="1"/>
    </row>
    <row r="43" spans="1:5">
      <c r="A43" s="1" t="s">
        <v>14</v>
      </c>
      <c r="B43" s="13">
        <f>34830</f>
        <v>34830</v>
      </c>
      <c r="C43" s="1"/>
      <c r="D43" s="1"/>
    </row>
    <row r="44" spans="1:5">
      <c r="A44" s="1" t="s">
        <v>15</v>
      </c>
      <c r="B44" s="13">
        <f>8028.58</f>
        <v>8028.58</v>
      </c>
      <c r="C44" s="1"/>
      <c r="D44" s="1"/>
    </row>
    <row r="45" spans="1:5">
      <c r="A45" s="1" t="s">
        <v>16</v>
      </c>
      <c r="B45" s="13">
        <f>3334</f>
        <v>3334</v>
      </c>
    </row>
    <row r="46" spans="1:5">
      <c r="A46" s="1" t="s">
        <v>35</v>
      </c>
      <c r="B46" s="41">
        <v>25000</v>
      </c>
    </row>
    <row r="47" spans="1:5">
      <c r="A47" s="1"/>
      <c r="B47" s="13">
        <f>SUM(B42:B46)</f>
        <v>325522.93714285718</v>
      </c>
    </row>
    <row r="48" spans="1:5">
      <c r="A48" s="1"/>
      <c r="B48" s="13"/>
    </row>
    <row r="49" spans="1:4">
      <c r="A49" s="1" t="s">
        <v>7</v>
      </c>
    </row>
    <row r="50" spans="1:4">
      <c r="A50" s="1" t="s">
        <v>57</v>
      </c>
      <c r="B50" s="14">
        <f>D40*0.04432</f>
        <v>336654.72</v>
      </c>
      <c r="C50" s="1" t="s">
        <v>60</v>
      </c>
      <c r="D50" s="14">
        <f>D40*0.0124</f>
        <v>94190.399999999994</v>
      </c>
    </row>
    <row r="51" spans="1:4">
      <c r="A51" s="1" t="s">
        <v>58</v>
      </c>
      <c r="B51" s="14">
        <f>D40*0.03054</f>
        <v>231981.84</v>
      </c>
      <c r="C51" s="1" t="s">
        <v>61</v>
      </c>
      <c r="D51" s="14">
        <f>D40*0.01168</f>
        <v>88721.279999999999</v>
      </c>
    </row>
    <row r="52" spans="1:4">
      <c r="A52" s="1" t="s">
        <v>59</v>
      </c>
      <c r="B52" s="14">
        <f>D40*0.0198</f>
        <v>150400.80000000002</v>
      </c>
      <c r="C52" s="1"/>
      <c r="D52" s="14"/>
    </row>
    <row r="53" spans="1:4" ht="14.25">
      <c r="A53" s="74" t="s">
        <v>55</v>
      </c>
      <c r="B53" s="75"/>
      <c r="C53" s="72"/>
      <c r="D53" s="75"/>
    </row>
    <row r="55" spans="1:4">
      <c r="A55" s="15" t="s">
        <v>13</v>
      </c>
      <c r="B55" s="15"/>
      <c r="C55" s="15"/>
    </row>
    <row r="56" spans="1:4">
      <c r="A56" s="15" t="s">
        <v>8</v>
      </c>
      <c r="B56" s="15"/>
      <c r="C56" s="15"/>
    </row>
    <row r="57" spans="1:4">
      <c r="A57" s="15" t="s">
        <v>9</v>
      </c>
      <c r="B57" s="15"/>
      <c r="C57" s="15"/>
    </row>
    <row r="58" spans="1:4">
      <c r="A58" s="15" t="s">
        <v>10</v>
      </c>
      <c r="B58" s="15"/>
      <c r="C58" s="15"/>
    </row>
    <row r="59" spans="1:4">
      <c r="A59" s="15" t="s">
        <v>32</v>
      </c>
      <c r="B59" s="15"/>
      <c r="C59" s="15"/>
    </row>
    <row r="60" spans="1:4">
      <c r="A60" s="15" t="s">
        <v>33</v>
      </c>
      <c r="B60" s="15"/>
      <c r="C60" s="15"/>
    </row>
    <row r="62" spans="1:4">
      <c r="A62" s="16" t="s">
        <v>11</v>
      </c>
    </row>
    <row r="63" spans="1:4">
      <c r="A63" s="17"/>
    </row>
    <row r="64" spans="1:4">
      <c r="A64" s="17"/>
    </row>
    <row r="65" spans="1:3">
      <c r="A65" s="18"/>
      <c r="C65" s="29"/>
    </row>
    <row r="66" spans="1:3">
      <c r="A66" s="30" t="s">
        <v>24</v>
      </c>
      <c r="C66" s="19" t="s">
        <v>24</v>
      </c>
    </row>
    <row r="67" spans="1:3">
      <c r="A67" s="22"/>
    </row>
    <row r="68" spans="1:3">
      <c r="A68" s="21"/>
    </row>
    <row r="69" spans="1:3">
      <c r="A69" s="19"/>
    </row>
    <row r="71" spans="1:3">
      <c r="A71" s="29"/>
    </row>
    <row r="72" spans="1:3">
      <c r="A72" s="32" t="s">
        <v>25</v>
      </c>
    </row>
    <row r="73" spans="1:3">
      <c r="A73" s="31" t="s">
        <v>26</v>
      </c>
    </row>
  </sheetData>
  <sheetProtection sheet="1" objects="1" scenarios="1"/>
  <protectedRanges>
    <protectedRange sqref="A73" name="Range8_1"/>
    <protectedRange sqref="A71" name="Range7_1"/>
    <protectedRange sqref="C65" name="Range6_1"/>
    <protectedRange sqref="A65" name="Range5_1"/>
    <protectedRange sqref="E6" name="Range2_1"/>
    <protectedRange sqref="A6" name="Range1_1"/>
    <protectedRange sqref="A40" name="Range4_4_2_1_1_2_1"/>
  </protectedRanges>
  <mergeCells count="2">
    <mergeCell ref="A8:B8"/>
    <mergeCell ref="A18:D18"/>
  </mergeCells>
  <pageMargins left="0.7" right="0.7" top="0.75" bottom="0.75" header="0.3" footer="0.3"/>
  <pageSetup paperSize="5" scale="85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6:J64"/>
  <sheetViews>
    <sheetView topLeftCell="A13" workbookViewId="0">
      <selection activeCell="J33" sqref="J33"/>
    </sheetView>
  </sheetViews>
  <sheetFormatPr defaultRowHeight="12.75"/>
  <cols>
    <col min="1" max="1" width="27.85546875" customWidth="1"/>
    <col min="2" max="2" width="17.42578125" customWidth="1"/>
    <col min="3" max="3" width="22.85546875" customWidth="1"/>
    <col min="4" max="4" width="17" customWidth="1"/>
    <col min="5" max="5" width="20.5703125" customWidth="1"/>
    <col min="7" max="7" width="11" customWidth="1"/>
    <col min="9" max="9" width="11.7109375" customWidth="1"/>
  </cols>
  <sheetData>
    <row r="6" spans="1:4">
      <c r="A6" s="1" t="s">
        <v>17</v>
      </c>
      <c r="B6" s="1"/>
      <c r="C6" s="1"/>
      <c r="D6" s="1" t="s">
        <v>20</v>
      </c>
    </row>
    <row r="7" spans="1:4">
      <c r="A7" s="1"/>
      <c r="B7" s="1"/>
      <c r="C7" s="1"/>
      <c r="D7" s="1"/>
    </row>
    <row r="8" spans="1:4">
      <c r="A8" s="84" t="s">
        <v>95</v>
      </c>
      <c r="B8" s="85"/>
      <c r="C8" s="1"/>
      <c r="D8" s="1"/>
    </row>
    <row r="9" spans="1:4">
      <c r="A9" s="2" t="s">
        <v>0</v>
      </c>
      <c r="B9" s="3" t="str">
        <f>Cash30!B9</f>
        <v>Unit 1</v>
      </c>
      <c r="C9" s="1"/>
      <c r="D9" s="1"/>
    </row>
    <row r="10" spans="1:4">
      <c r="A10" s="2" t="s">
        <v>12</v>
      </c>
      <c r="B10" s="36" t="str">
        <f>VLOOKUP(B9,Price!A:D,4,FALSE)</f>
        <v xml:space="preserve">Townhouse </v>
      </c>
      <c r="C10" s="1"/>
      <c r="D10" s="1"/>
    </row>
    <row r="11" spans="1:4">
      <c r="A11" s="2" t="s">
        <v>19</v>
      </c>
      <c r="B11" s="36">
        <f>VLOOKUP(B9,Price!A:E,5,FALSE)</f>
        <v>52.28</v>
      </c>
      <c r="C11" s="1"/>
      <c r="D11" s="1"/>
    </row>
    <row r="12" spans="1:4">
      <c r="A12" s="2" t="s">
        <v>67</v>
      </c>
      <c r="B12" s="3">
        <f>VLOOKUP(B9,Price!A:F,6,FALSE)</f>
        <v>164.57</v>
      </c>
      <c r="C12" s="1"/>
      <c r="D12" s="1"/>
    </row>
    <row r="13" spans="1:4">
      <c r="A13" s="2" t="s">
        <v>68</v>
      </c>
      <c r="B13" s="3">
        <f>VLOOKUP(B9,Price!A:G,7,FALSE)</f>
        <v>5.51</v>
      </c>
      <c r="C13" s="1"/>
      <c r="D13" s="1"/>
    </row>
    <row r="14" spans="1:4">
      <c r="A14" s="2" t="s">
        <v>69</v>
      </c>
      <c r="B14" s="3">
        <f>VLOOKUP(B9,Price!A:H,8,FALSE)</f>
        <v>170.07999999999998</v>
      </c>
      <c r="C14" s="1"/>
      <c r="D14" s="1"/>
    </row>
    <row r="15" spans="1:4">
      <c r="A15" s="2" t="s">
        <v>43</v>
      </c>
      <c r="B15" s="45">
        <f>VLOOKUP(B9,Price!A:J,10,FALSE)</f>
        <v>9495000</v>
      </c>
      <c r="C15" s="1"/>
      <c r="D15" s="1"/>
    </row>
    <row r="16" spans="1:4">
      <c r="A16" s="2" t="s">
        <v>1</v>
      </c>
      <c r="B16" s="4">
        <f>B38</f>
        <v>300522.93714285712</v>
      </c>
      <c r="C16" s="1"/>
      <c r="D16" s="1"/>
    </row>
    <row r="17" spans="1:10">
      <c r="A17" s="1"/>
      <c r="B17" s="1"/>
      <c r="C17" s="1"/>
      <c r="D17" s="1"/>
    </row>
    <row r="18" spans="1:10">
      <c r="A18" s="86" t="s">
        <v>46</v>
      </c>
      <c r="B18" s="87"/>
      <c r="C18" s="87"/>
      <c r="D18" s="88"/>
    </row>
    <row r="19" spans="1:10">
      <c r="A19" s="5" t="s">
        <v>2</v>
      </c>
      <c r="B19" s="5" t="s">
        <v>3</v>
      </c>
      <c r="C19" s="23" t="s">
        <v>22</v>
      </c>
      <c r="D19" s="5" t="s">
        <v>23</v>
      </c>
    </row>
    <row r="20" spans="1:10">
      <c r="A20" s="46" t="s">
        <v>74</v>
      </c>
      <c r="B20" s="53">
        <v>50000</v>
      </c>
      <c r="C20" s="25"/>
      <c r="D20" s="8">
        <f>B20</f>
        <v>50000</v>
      </c>
      <c r="E20" s="1" t="s">
        <v>36</v>
      </c>
    </row>
    <row r="21" spans="1:10">
      <c r="A21" s="46" t="s">
        <v>80</v>
      </c>
      <c r="B21" s="48">
        <f>D21/1.12</f>
        <v>803124.99999999988</v>
      </c>
      <c r="C21" s="26">
        <f>B21*12%</f>
        <v>96374.999999999985</v>
      </c>
      <c r="D21" s="8">
        <f>B15*10%-B20</f>
        <v>899500</v>
      </c>
      <c r="E21" s="1" t="s">
        <v>4</v>
      </c>
      <c r="G21" s="40"/>
    </row>
    <row r="22" spans="1:10">
      <c r="A22" s="46" t="s">
        <v>75</v>
      </c>
      <c r="B22" s="48">
        <f>D22/1.12</f>
        <v>77069.805194805187</v>
      </c>
      <c r="C22" s="26">
        <f>B22*12%</f>
        <v>9248.3766233766219</v>
      </c>
      <c r="D22" s="8">
        <f>(B15*10%)/11</f>
        <v>86318.181818181823</v>
      </c>
      <c r="E22" s="1" t="s">
        <v>5</v>
      </c>
      <c r="J22" s="9"/>
    </row>
    <row r="23" spans="1:10">
      <c r="A23" s="46" t="s">
        <v>81</v>
      </c>
      <c r="B23" s="48">
        <f>B22</f>
        <v>77069.805194805187</v>
      </c>
      <c r="C23" s="8">
        <f>C22</f>
        <v>9248.3766233766219</v>
      </c>
      <c r="D23" s="8">
        <f>D22</f>
        <v>86318.181818181823</v>
      </c>
      <c r="I23" s="9"/>
    </row>
    <row r="24" spans="1:10">
      <c r="A24" s="46" t="s">
        <v>86</v>
      </c>
      <c r="B24" s="48">
        <f>B23</f>
        <v>77069.805194805187</v>
      </c>
      <c r="C24" s="8">
        <f>C22</f>
        <v>9248.3766233766219</v>
      </c>
      <c r="D24" s="8">
        <f t="shared" ref="D24:D32" si="0">D23</f>
        <v>86318.181818181823</v>
      </c>
    </row>
    <row r="25" spans="1:10">
      <c r="A25" s="46" t="s">
        <v>88</v>
      </c>
      <c r="B25" s="48">
        <f>B24</f>
        <v>77069.805194805187</v>
      </c>
      <c r="C25" s="8">
        <f>C22</f>
        <v>9248.3766233766219</v>
      </c>
      <c r="D25" s="8">
        <f t="shared" si="0"/>
        <v>86318.181818181823</v>
      </c>
    </row>
    <row r="26" spans="1:10">
      <c r="A26" s="46" t="s">
        <v>87</v>
      </c>
      <c r="B26" s="48">
        <f>B25</f>
        <v>77069.805194805187</v>
      </c>
      <c r="C26" s="8">
        <f>C22</f>
        <v>9248.3766233766219</v>
      </c>
      <c r="D26" s="8">
        <f t="shared" si="0"/>
        <v>86318.181818181823</v>
      </c>
    </row>
    <row r="27" spans="1:10">
      <c r="A27" s="46" t="s">
        <v>89</v>
      </c>
      <c r="B27" s="48">
        <f>B25</f>
        <v>77069.805194805187</v>
      </c>
      <c r="C27" s="8">
        <f t="shared" ref="C27:C32" si="1">C23</f>
        <v>9248.3766233766219</v>
      </c>
      <c r="D27" s="8">
        <f t="shared" si="0"/>
        <v>86318.181818181823</v>
      </c>
    </row>
    <row r="28" spans="1:10">
      <c r="A28" s="46" t="s">
        <v>90</v>
      </c>
      <c r="B28" s="48">
        <f t="shared" ref="B28:B32" si="2">B26</f>
        <v>77069.805194805187</v>
      </c>
      <c r="C28" s="8">
        <f t="shared" si="1"/>
        <v>9248.3766233766219</v>
      </c>
      <c r="D28" s="8">
        <f t="shared" si="0"/>
        <v>86318.181818181823</v>
      </c>
    </row>
    <row r="29" spans="1:10">
      <c r="A29" s="46" t="s">
        <v>91</v>
      </c>
      <c r="B29" s="48">
        <f t="shared" si="2"/>
        <v>77069.805194805187</v>
      </c>
      <c r="C29" s="8">
        <f t="shared" si="1"/>
        <v>9248.3766233766219</v>
      </c>
      <c r="D29" s="8">
        <f t="shared" si="0"/>
        <v>86318.181818181823</v>
      </c>
    </row>
    <row r="30" spans="1:10">
      <c r="A30" s="46" t="s">
        <v>92</v>
      </c>
      <c r="B30" s="48">
        <f t="shared" si="2"/>
        <v>77069.805194805187</v>
      </c>
      <c r="C30" s="8">
        <f t="shared" si="1"/>
        <v>9248.3766233766219</v>
      </c>
      <c r="D30" s="8">
        <f t="shared" si="0"/>
        <v>86318.181818181823</v>
      </c>
    </row>
    <row r="31" spans="1:10">
      <c r="A31" s="46" t="s">
        <v>93</v>
      </c>
      <c r="B31" s="48">
        <f t="shared" si="2"/>
        <v>77069.805194805187</v>
      </c>
      <c r="C31" s="8">
        <f t="shared" si="1"/>
        <v>9248.3766233766219</v>
      </c>
      <c r="D31" s="8">
        <f t="shared" si="0"/>
        <v>86318.181818181823</v>
      </c>
    </row>
    <row r="32" spans="1:10">
      <c r="A32" s="46" t="s">
        <v>103</v>
      </c>
      <c r="B32" s="48">
        <f t="shared" si="2"/>
        <v>77069.805194805187</v>
      </c>
      <c r="C32" s="8">
        <f t="shared" si="1"/>
        <v>9248.3766233766219</v>
      </c>
      <c r="D32" s="8">
        <f t="shared" si="0"/>
        <v>86318.181818181823</v>
      </c>
    </row>
    <row r="33" spans="1:5">
      <c r="A33" s="46"/>
      <c r="B33" s="48"/>
      <c r="C33" s="26">
        <f>B38</f>
        <v>300522.93714285712</v>
      </c>
      <c r="D33" s="8">
        <f>B38</f>
        <v>300522.93714285712</v>
      </c>
      <c r="E33" s="24" t="s">
        <v>6</v>
      </c>
    </row>
    <row r="34" spans="1:5">
      <c r="A34" s="47" t="s">
        <v>94</v>
      </c>
      <c r="B34" s="54">
        <f>D34/1.12</f>
        <v>6782142.8571428563</v>
      </c>
      <c r="C34" s="27">
        <f>B34*12%</f>
        <v>813857.14285714272</v>
      </c>
      <c r="D34" s="11">
        <f>B15*80%</f>
        <v>7596000</v>
      </c>
      <c r="E34" s="28" t="s">
        <v>34</v>
      </c>
    </row>
    <row r="35" spans="1:5">
      <c r="A35" s="12"/>
      <c r="B35" s="12"/>
      <c r="C35" s="1"/>
      <c r="D35" s="1"/>
    </row>
    <row r="36" spans="1:5">
      <c r="A36" s="1" t="s">
        <v>44</v>
      </c>
      <c r="B36" s="13">
        <f>B15/1.12*3%</f>
        <v>254330.35714285713</v>
      </c>
      <c r="C36" s="1" t="s">
        <v>45</v>
      </c>
      <c r="D36" s="1"/>
    </row>
    <row r="37" spans="1:5">
      <c r="A37" s="1" t="s">
        <v>102</v>
      </c>
      <c r="B37" s="41">
        <v>46192.58</v>
      </c>
      <c r="C37" s="1"/>
      <c r="D37" s="1"/>
    </row>
    <row r="38" spans="1:5">
      <c r="A38" s="1"/>
      <c r="B38" s="13">
        <f>SUM(B36:B37)</f>
        <v>300522.93714285712</v>
      </c>
    </row>
    <row r="39" spans="1:5">
      <c r="A39" s="1"/>
      <c r="B39" s="13"/>
    </row>
    <row r="40" spans="1:5">
      <c r="A40" s="1" t="s">
        <v>56</v>
      </c>
    </row>
    <row r="41" spans="1:5">
      <c r="A41" s="1" t="s">
        <v>57</v>
      </c>
      <c r="B41" s="14">
        <f>D34*0.04432</f>
        <v>336654.72</v>
      </c>
      <c r="C41" s="1" t="s">
        <v>60</v>
      </c>
      <c r="D41" s="14">
        <f>D34*0.0124</f>
        <v>94190.399999999994</v>
      </c>
    </row>
    <row r="42" spans="1:5">
      <c r="A42" s="1" t="s">
        <v>58</v>
      </c>
      <c r="B42" s="14">
        <f>D34*0.03054</f>
        <v>231981.84</v>
      </c>
      <c r="C42" s="1" t="s">
        <v>61</v>
      </c>
      <c r="D42" s="14">
        <f>D34*0.01168</f>
        <v>88721.279999999999</v>
      </c>
    </row>
    <row r="43" spans="1:5">
      <c r="A43" s="1" t="s">
        <v>59</v>
      </c>
      <c r="B43" s="14">
        <f>D34*0.0198</f>
        <v>150400.80000000002</v>
      </c>
      <c r="C43" s="1"/>
      <c r="D43" s="14"/>
    </row>
    <row r="44" spans="1:5">
      <c r="A44" s="73" t="s">
        <v>55</v>
      </c>
      <c r="B44" s="14"/>
      <c r="C44" s="1"/>
      <c r="D44" s="14"/>
    </row>
    <row r="46" spans="1:5">
      <c r="A46" s="15" t="s">
        <v>13</v>
      </c>
      <c r="B46" s="15"/>
      <c r="C46" s="15"/>
    </row>
    <row r="47" spans="1:5">
      <c r="A47" s="15" t="s">
        <v>8</v>
      </c>
      <c r="B47" s="15"/>
      <c r="C47" s="15"/>
    </row>
    <row r="48" spans="1:5">
      <c r="A48" s="15" t="s">
        <v>9</v>
      </c>
      <c r="B48" s="15"/>
      <c r="C48" s="15"/>
    </row>
    <row r="49" spans="1:3">
      <c r="A49" s="15" t="s">
        <v>10</v>
      </c>
      <c r="B49" s="15"/>
      <c r="C49" s="15"/>
    </row>
    <row r="50" spans="1:3">
      <c r="A50" s="15" t="s">
        <v>32</v>
      </c>
      <c r="B50" s="15"/>
      <c r="C50" s="15"/>
    </row>
    <row r="51" spans="1:3">
      <c r="A51" s="15" t="s">
        <v>33</v>
      </c>
      <c r="B51" s="15"/>
      <c r="C51" s="15"/>
    </row>
    <row r="53" spans="1:3">
      <c r="A53" s="16" t="s">
        <v>11</v>
      </c>
    </row>
    <row r="54" spans="1:3">
      <c r="A54" s="17"/>
    </row>
    <row r="55" spans="1:3">
      <c r="A55" s="17"/>
    </row>
    <row r="56" spans="1:3">
      <c r="A56" s="18"/>
      <c r="C56" s="29"/>
    </row>
    <row r="57" spans="1:3">
      <c r="A57" s="30" t="s">
        <v>24</v>
      </c>
      <c r="C57" s="19" t="s">
        <v>24</v>
      </c>
    </row>
    <row r="58" spans="1:3">
      <c r="A58" s="22"/>
    </row>
    <row r="59" spans="1:3">
      <c r="A59" s="21"/>
    </row>
    <row r="60" spans="1:3">
      <c r="A60" s="19"/>
    </row>
    <row r="62" spans="1:3">
      <c r="A62" s="29"/>
    </row>
    <row r="63" spans="1:3">
      <c r="A63" s="32" t="s">
        <v>25</v>
      </c>
    </row>
    <row r="64" spans="1:3">
      <c r="A64" s="31" t="s">
        <v>26</v>
      </c>
    </row>
  </sheetData>
  <protectedRanges>
    <protectedRange sqref="A64" name="Range8"/>
    <protectedRange sqref="A62" name="Range7"/>
    <protectedRange sqref="C56" name="Range6"/>
    <protectedRange sqref="A56" name="Range5"/>
    <protectedRange sqref="E6" name="Range2"/>
    <protectedRange sqref="A6" name="Range1"/>
    <protectedRange sqref="A34" name="Range4_4_2_1"/>
  </protectedRanges>
  <mergeCells count="2">
    <mergeCell ref="A8:B8"/>
    <mergeCell ref="A18:D18"/>
  </mergeCells>
  <phoneticPr fontId="9" type="noConversion"/>
  <pageMargins left="0.51458333333333295" right="0.19" top="0.67" bottom="0.47" header="0.26" footer="0.22"/>
  <pageSetup paperSize="5" scale="96" orientation="portrait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6:E67"/>
  <sheetViews>
    <sheetView topLeftCell="A8" workbookViewId="0">
      <selection activeCell="A20" sqref="A20:A37"/>
    </sheetView>
  </sheetViews>
  <sheetFormatPr defaultRowHeight="12.75"/>
  <cols>
    <col min="1" max="1" width="28.140625" customWidth="1"/>
    <col min="2" max="2" width="17.42578125" customWidth="1"/>
    <col min="3" max="3" width="22.85546875" customWidth="1"/>
    <col min="4" max="4" width="17" customWidth="1"/>
    <col min="6" max="6" width="10.85546875" customWidth="1"/>
  </cols>
  <sheetData>
    <row r="6" spans="1:4">
      <c r="A6" s="1" t="s">
        <v>17</v>
      </c>
      <c r="B6" s="1"/>
      <c r="C6" s="1"/>
      <c r="D6" s="1" t="s">
        <v>20</v>
      </c>
    </row>
    <row r="7" spans="1:4">
      <c r="A7" s="1"/>
      <c r="B7" s="1"/>
      <c r="C7" s="1"/>
      <c r="D7" s="1"/>
    </row>
    <row r="8" spans="1:4">
      <c r="A8" s="84" t="s">
        <v>95</v>
      </c>
      <c r="B8" s="85"/>
      <c r="C8" s="1"/>
      <c r="D8" s="1"/>
    </row>
    <row r="9" spans="1:4">
      <c r="A9" s="2" t="s">
        <v>0</v>
      </c>
      <c r="B9" s="3" t="str">
        <f>Cash30!B9</f>
        <v>Unit 1</v>
      </c>
      <c r="C9" s="1"/>
      <c r="D9" s="1"/>
    </row>
    <row r="10" spans="1:4">
      <c r="A10" s="2" t="s">
        <v>12</v>
      </c>
      <c r="B10" s="36" t="str">
        <f>VLOOKUP(B9,Price!A:D,4,FALSE)</f>
        <v xml:space="preserve">Townhouse </v>
      </c>
      <c r="C10" s="1"/>
      <c r="D10" s="1"/>
    </row>
    <row r="11" spans="1:4">
      <c r="A11" s="2" t="s">
        <v>19</v>
      </c>
      <c r="B11" s="36">
        <f>VLOOKUP(B9,Price!A:E,5,FALSE)</f>
        <v>52.28</v>
      </c>
      <c r="C11" s="1"/>
      <c r="D11" s="1"/>
    </row>
    <row r="12" spans="1:4">
      <c r="A12" s="2" t="s">
        <v>67</v>
      </c>
      <c r="B12" s="3">
        <f>VLOOKUP(B9,Price!A:F,6,FALSE)</f>
        <v>164.57</v>
      </c>
      <c r="C12" s="1"/>
      <c r="D12" s="1"/>
    </row>
    <row r="13" spans="1:4">
      <c r="A13" s="2" t="s">
        <v>68</v>
      </c>
      <c r="B13" s="3">
        <f>VLOOKUP(B9,Price!A:G,7,FALSE)</f>
        <v>5.51</v>
      </c>
      <c r="C13" s="1"/>
      <c r="D13" s="1"/>
    </row>
    <row r="14" spans="1:4">
      <c r="A14" s="2" t="s">
        <v>69</v>
      </c>
      <c r="B14" s="3">
        <f>VLOOKUP(B9,Price!A:H,8,FALSE)</f>
        <v>170.07999999999998</v>
      </c>
      <c r="C14" s="13"/>
      <c r="D14" s="1"/>
    </row>
    <row r="15" spans="1:4">
      <c r="A15" s="2" t="s">
        <v>43</v>
      </c>
      <c r="B15" s="45">
        <f>VLOOKUP(B9,Price!A:J,10,FALSE)</f>
        <v>9495000</v>
      </c>
      <c r="C15" s="1"/>
      <c r="D15" s="1"/>
    </row>
    <row r="16" spans="1:4">
      <c r="A16" s="2" t="s">
        <v>1</v>
      </c>
      <c r="B16" s="4">
        <f>B41</f>
        <v>300522.93714285712</v>
      </c>
      <c r="C16" s="1"/>
      <c r="D16" s="1"/>
    </row>
    <row r="17" spans="1:5">
      <c r="A17" s="1"/>
      <c r="B17" s="1"/>
      <c r="C17" s="1"/>
      <c r="D17" s="1"/>
    </row>
    <row r="18" spans="1:5">
      <c r="A18" s="86" t="s">
        <v>77</v>
      </c>
      <c r="B18" s="87"/>
      <c r="C18" s="87"/>
      <c r="D18" s="88"/>
    </row>
    <row r="19" spans="1:5">
      <c r="A19" s="5" t="s">
        <v>2</v>
      </c>
      <c r="B19" s="5" t="s">
        <v>3</v>
      </c>
      <c r="C19" s="81" t="s">
        <v>22</v>
      </c>
      <c r="D19" s="5" t="s">
        <v>23</v>
      </c>
    </row>
    <row r="20" spans="1:5">
      <c r="A20" s="46" t="s">
        <v>74</v>
      </c>
      <c r="B20" s="7">
        <v>50000</v>
      </c>
      <c r="C20" s="25"/>
      <c r="D20" s="8">
        <f>B20</f>
        <v>50000</v>
      </c>
      <c r="E20" s="1" t="s">
        <v>36</v>
      </c>
    </row>
    <row r="21" spans="1:5">
      <c r="A21" s="46" t="s">
        <v>80</v>
      </c>
      <c r="B21" s="8">
        <f>D21/1.12</f>
        <v>803124.99999999988</v>
      </c>
      <c r="C21" s="26">
        <f>B21*12%</f>
        <v>96374.999999999985</v>
      </c>
      <c r="D21" s="8">
        <f>(B15*10%-D20)</f>
        <v>899500</v>
      </c>
      <c r="E21" s="1" t="s">
        <v>4</v>
      </c>
    </row>
    <row r="22" spans="1:5">
      <c r="A22" s="46" t="s">
        <v>75</v>
      </c>
      <c r="B22" s="8">
        <f>D22/1.12</f>
        <v>60554.846938775496</v>
      </c>
      <c r="C22" s="26">
        <f>B22*12%</f>
        <v>7266.5816326530594</v>
      </c>
      <c r="D22" s="8">
        <f>(B15*10%)/14</f>
        <v>67821.428571428565</v>
      </c>
      <c r="E22" s="1" t="s">
        <v>5</v>
      </c>
    </row>
    <row r="23" spans="1:5">
      <c r="A23" s="46" t="s">
        <v>81</v>
      </c>
      <c r="B23" s="8">
        <f>B22</f>
        <v>60554.846938775496</v>
      </c>
      <c r="C23" s="8">
        <f>C22</f>
        <v>7266.5816326530594</v>
      </c>
      <c r="D23" s="8">
        <f>D22</f>
        <v>67821.428571428565</v>
      </c>
    </row>
    <row r="24" spans="1:5">
      <c r="A24" s="46" t="s">
        <v>86</v>
      </c>
      <c r="B24" s="8">
        <f>B23</f>
        <v>60554.846938775496</v>
      </c>
      <c r="C24" s="8">
        <f>C22</f>
        <v>7266.5816326530594</v>
      </c>
      <c r="D24" s="8">
        <f t="shared" ref="D24:D32" si="0">D23</f>
        <v>67821.428571428565</v>
      </c>
    </row>
    <row r="25" spans="1:5">
      <c r="A25" s="46" t="s">
        <v>88</v>
      </c>
      <c r="B25" s="8">
        <f>B24</f>
        <v>60554.846938775496</v>
      </c>
      <c r="C25" s="8">
        <f>C22</f>
        <v>7266.5816326530594</v>
      </c>
      <c r="D25" s="8">
        <f t="shared" si="0"/>
        <v>67821.428571428565</v>
      </c>
    </row>
    <row r="26" spans="1:5">
      <c r="A26" s="46" t="s">
        <v>87</v>
      </c>
      <c r="B26" s="8">
        <f>B25</f>
        <v>60554.846938775496</v>
      </c>
      <c r="C26" s="8">
        <f>C22</f>
        <v>7266.5816326530594</v>
      </c>
      <c r="D26" s="8">
        <f t="shared" si="0"/>
        <v>67821.428571428565</v>
      </c>
    </row>
    <row r="27" spans="1:5">
      <c r="A27" s="46" t="s">
        <v>89</v>
      </c>
      <c r="B27" s="8">
        <f t="shared" ref="B27:B32" si="1">B25</f>
        <v>60554.846938775496</v>
      </c>
      <c r="C27" s="8">
        <f t="shared" ref="C27:C32" si="2">C23</f>
        <v>7266.5816326530594</v>
      </c>
      <c r="D27" s="8">
        <f t="shared" si="0"/>
        <v>67821.428571428565</v>
      </c>
    </row>
    <row r="28" spans="1:5">
      <c r="A28" s="46" t="s">
        <v>90</v>
      </c>
      <c r="B28" s="8">
        <f t="shared" si="1"/>
        <v>60554.846938775496</v>
      </c>
      <c r="C28" s="8">
        <f t="shared" si="2"/>
        <v>7266.5816326530594</v>
      </c>
      <c r="D28" s="8">
        <f t="shared" si="0"/>
        <v>67821.428571428565</v>
      </c>
    </row>
    <row r="29" spans="1:5">
      <c r="A29" s="46" t="s">
        <v>91</v>
      </c>
      <c r="B29" s="8">
        <f t="shared" si="1"/>
        <v>60554.846938775496</v>
      </c>
      <c r="C29" s="8">
        <f t="shared" si="2"/>
        <v>7266.5816326530594</v>
      </c>
      <c r="D29" s="8">
        <f t="shared" si="0"/>
        <v>67821.428571428565</v>
      </c>
    </row>
    <row r="30" spans="1:5">
      <c r="A30" s="46" t="s">
        <v>92</v>
      </c>
      <c r="B30" s="8">
        <f t="shared" si="1"/>
        <v>60554.846938775496</v>
      </c>
      <c r="C30" s="8">
        <f t="shared" si="2"/>
        <v>7266.5816326530594</v>
      </c>
      <c r="D30" s="8">
        <f t="shared" si="0"/>
        <v>67821.428571428565</v>
      </c>
    </row>
    <row r="31" spans="1:5">
      <c r="A31" s="46" t="s">
        <v>93</v>
      </c>
      <c r="B31" s="8">
        <f t="shared" si="1"/>
        <v>60554.846938775496</v>
      </c>
      <c r="C31" s="8">
        <f t="shared" si="2"/>
        <v>7266.5816326530594</v>
      </c>
      <c r="D31" s="8">
        <f t="shared" si="0"/>
        <v>67821.428571428565</v>
      </c>
    </row>
    <row r="32" spans="1:5">
      <c r="A32" s="46" t="s">
        <v>103</v>
      </c>
      <c r="B32" s="8">
        <f t="shared" si="1"/>
        <v>60554.846938775496</v>
      </c>
      <c r="C32" s="8">
        <f t="shared" si="2"/>
        <v>7266.5816326530594</v>
      </c>
      <c r="D32" s="8">
        <f t="shared" si="0"/>
        <v>67821.428571428565</v>
      </c>
    </row>
    <row r="33" spans="1:5">
      <c r="A33" s="46" t="s">
        <v>94</v>
      </c>
      <c r="B33" s="8">
        <f t="shared" ref="B33:D35" si="3">B32</f>
        <v>60554.846938775496</v>
      </c>
      <c r="C33" s="8">
        <f t="shared" si="3"/>
        <v>7266.5816326530594</v>
      </c>
      <c r="D33" s="8">
        <f t="shared" si="3"/>
        <v>67821.428571428565</v>
      </c>
    </row>
    <row r="34" spans="1:5">
      <c r="A34" s="46" t="s">
        <v>104</v>
      </c>
      <c r="B34" s="8">
        <f t="shared" si="3"/>
        <v>60554.846938775496</v>
      </c>
      <c r="C34" s="8">
        <f t="shared" si="3"/>
        <v>7266.5816326530594</v>
      </c>
      <c r="D34" s="8">
        <f t="shared" si="3"/>
        <v>67821.428571428565</v>
      </c>
    </row>
    <row r="35" spans="1:5">
      <c r="A35" s="46" t="s">
        <v>106</v>
      </c>
      <c r="B35" s="8">
        <f t="shared" si="3"/>
        <v>60554.846938775496</v>
      </c>
      <c r="C35" s="8">
        <f t="shared" si="3"/>
        <v>7266.5816326530594</v>
      </c>
      <c r="D35" s="8">
        <f t="shared" si="3"/>
        <v>67821.428571428565</v>
      </c>
    </row>
    <row r="36" spans="1:5">
      <c r="A36" s="46"/>
      <c r="B36" s="8"/>
      <c r="C36" s="26">
        <f>B41</f>
        <v>300522.93714285712</v>
      </c>
      <c r="D36" s="8">
        <f>B41</f>
        <v>300522.93714285712</v>
      </c>
      <c r="E36" s="24" t="s">
        <v>6</v>
      </c>
    </row>
    <row r="37" spans="1:5">
      <c r="A37" s="47" t="s">
        <v>107</v>
      </c>
      <c r="B37" s="11">
        <f>D37/1.12</f>
        <v>6782142.8571428563</v>
      </c>
      <c r="C37" s="27">
        <f>B37*12%</f>
        <v>813857.14285714272</v>
      </c>
      <c r="D37" s="11">
        <f>B15*80%</f>
        <v>7596000</v>
      </c>
      <c r="E37" s="28" t="s">
        <v>34</v>
      </c>
    </row>
    <row r="38" spans="1:5">
      <c r="A38" s="12"/>
      <c r="B38" s="12"/>
      <c r="C38" s="1"/>
      <c r="D38" s="1"/>
    </row>
    <row r="39" spans="1:5">
      <c r="A39" s="1" t="s">
        <v>44</v>
      </c>
      <c r="B39" s="13">
        <f>B15/1.12*3%</f>
        <v>254330.35714285713</v>
      </c>
      <c r="C39" s="1" t="s">
        <v>45</v>
      </c>
      <c r="D39" s="1"/>
    </row>
    <row r="40" spans="1:5">
      <c r="A40" s="1" t="s">
        <v>102</v>
      </c>
      <c r="B40" s="41">
        <v>46192.58</v>
      </c>
      <c r="C40" s="1"/>
      <c r="D40" s="1"/>
    </row>
    <row r="41" spans="1:5">
      <c r="A41" s="1"/>
      <c r="B41" s="13">
        <f>SUM(B39:B40)</f>
        <v>300522.93714285712</v>
      </c>
    </row>
    <row r="42" spans="1:5">
      <c r="A42" s="1"/>
      <c r="B42" s="13"/>
    </row>
    <row r="43" spans="1:5">
      <c r="A43" s="1" t="s">
        <v>7</v>
      </c>
    </row>
    <row r="44" spans="1:5">
      <c r="A44" s="1" t="s">
        <v>57</v>
      </c>
      <c r="B44" s="14">
        <f>D37*0.04432</f>
        <v>336654.72</v>
      </c>
      <c r="C44" s="1" t="s">
        <v>60</v>
      </c>
      <c r="D44" s="14">
        <f>D37*0.0124</f>
        <v>94190.399999999994</v>
      </c>
    </row>
    <row r="45" spans="1:5">
      <c r="A45" s="1" t="s">
        <v>58</v>
      </c>
      <c r="B45" s="14">
        <f>D37*0.03054</f>
        <v>231981.84</v>
      </c>
      <c r="C45" s="1" t="s">
        <v>61</v>
      </c>
      <c r="D45" s="14">
        <f>D37*0.01168</f>
        <v>88721.279999999999</v>
      </c>
    </row>
    <row r="46" spans="1:5">
      <c r="A46" s="1" t="s">
        <v>59</v>
      </c>
      <c r="B46" s="14">
        <f>D37*0.0198</f>
        <v>150400.80000000002</v>
      </c>
      <c r="C46" s="1"/>
      <c r="D46" s="14"/>
    </row>
    <row r="47" spans="1:5" ht="14.25">
      <c r="A47" s="74" t="s">
        <v>55</v>
      </c>
      <c r="B47" s="75"/>
      <c r="C47" s="72"/>
      <c r="D47" s="75"/>
    </row>
    <row r="49" spans="1:3">
      <c r="A49" s="15" t="s">
        <v>13</v>
      </c>
      <c r="B49" s="15"/>
      <c r="C49" s="15"/>
    </row>
    <row r="50" spans="1:3">
      <c r="A50" s="15" t="s">
        <v>8</v>
      </c>
      <c r="B50" s="15"/>
      <c r="C50" s="15"/>
    </row>
    <row r="51" spans="1:3">
      <c r="A51" s="15" t="s">
        <v>9</v>
      </c>
      <c r="B51" s="15"/>
      <c r="C51" s="15"/>
    </row>
    <row r="52" spans="1:3">
      <c r="A52" s="15" t="s">
        <v>10</v>
      </c>
      <c r="B52" s="15"/>
      <c r="C52" s="15"/>
    </row>
    <row r="53" spans="1:3">
      <c r="A53" s="15" t="s">
        <v>32</v>
      </c>
      <c r="B53" s="15"/>
      <c r="C53" s="15"/>
    </row>
    <row r="54" spans="1:3">
      <c r="A54" s="15" t="s">
        <v>33</v>
      </c>
      <c r="B54" s="15"/>
      <c r="C54" s="15"/>
    </row>
    <row r="56" spans="1:3">
      <c r="A56" s="16" t="s">
        <v>11</v>
      </c>
    </row>
    <row r="57" spans="1:3">
      <c r="A57" s="17"/>
    </row>
    <row r="58" spans="1:3">
      <c r="A58" s="17"/>
    </row>
    <row r="59" spans="1:3">
      <c r="A59" s="18"/>
      <c r="C59" s="29"/>
    </row>
    <row r="60" spans="1:3">
      <c r="A60" s="30" t="s">
        <v>24</v>
      </c>
      <c r="C60" s="19" t="s">
        <v>24</v>
      </c>
    </row>
    <row r="61" spans="1:3">
      <c r="A61" s="22"/>
    </row>
    <row r="62" spans="1:3">
      <c r="A62" s="21"/>
    </row>
    <row r="63" spans="1:3">
      <c r="A63" s="19"/>
    </row>
    <row r="65" spans="1:1">
      <c r="A65" s="29"/>
    </row>
    <row r="66" spans="1:1">
      <c r="A66" s="32" t="s">
        <v>25</v>
      </c>
    </row>
    <row r="67" spans="1:1">
      <c r="A67" s="31" t="s">
        <v>26</v>
      </c>
    </row>
  </sheetData>
  <protectedRanges>
    <protectedRange sqref="A67" name="Range8_1_1"/>
    <protectedRange sqref="A65" name="Range7_1_1"/>
    <protectedRange sqref="C59" name="Range6_1_1"/>
    <protectedRange sqref="A59" name="Range5_1_1"/>
    <protectedRange sqref="E6" name="Range2_1_1"/>
    <protectedRange sqref="A6" name="Range1_1_1"/>
    <protectedRange sqref="A37" name="Range4_4_2_1_2_1_1_1"/>
  </protectedRanges>
  <mergeCells count="2">
    <mergeCell ref="A8:B8"/>
    <mergeCell ref="A18:D18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6:E73"/>
  <sheetViews>
    <sheetView topLeftCell="A14" workbookViewId="0">
      <selection activeCell="A20" sqref="A20:A40"/>
    </sheetView>
  </sheetViews>
  <sheetFormatPr defaultRowHeight="12.75"/>
  <cols>
    <col min="1" max="1" width="28.140625" customWidth="1"/>
    <col min="2" max="2" width="17.42578125" customWidth="1"/>
    <col min="3" max="3" width="22.85546875" customWidth="1"/>
    <col min="4" max="4" width="17" customWidth="1"/>
    <col min="6" max="6" width="10.85546875" customWidth="1"/>
  </cols>
  <sheetData>
    <row r="6" spans="1:4">
      <c r="A6" s="1" t="s">
        <v>17</v>
      </c>
      <c r="B6" s="1"/>
      <c r="C6" s="1"/>
      <c r="D6" s="1" t="s">
        <v>20</v>
      </c>
    </row>
    <row r="7" spans="1:4">
      <c r="A7" s="1"/>
      <c r="B7" s="1"/>
      <c r="C7" s="1"/>
      <c r="D7" s="1"/>
    </row>
    <row r="8" spans="1:4">
      <c r="A8" s="84" t="s">
        <v>42</v>
      </c>
      <c r="B8" s="85"/>
      <c r="C8" s="1"/>
      <c r="D8" s="1"/>
    </row>
    <row r="9" spans="1:4">
      <c r="A9" s="2" t="s">
        <v>0</v>
      </c>
      <c r="B9" s="3" t="str">
        <f>Cash30!B9</f>
        <v>Unit 1</v>
      </c>
      <c r="C9" s="1"/>
      <c r="D9" s="1"/>
    </row>
    <row r="10" spans="1:4">
      <c r="A10" s="2" t="s">
        <v>12</v>
      </c>
      <c r="B10" s="36" t="str">
        <f>VLOOKUP(B9,Price!A:D,4,FALSE)</f>
        <v xml:space="preserve">Townhouse </v>
      </c>
      <c r="C10" s="1"/>
      <c r="D10" s="1"/>
    </row>
    <row r="11" spans="1:4">
      <c r="A11" s="2" t="s">
        <v>19</v>
      </c>
      <c r="B11" s="36">
        <f>VLOOKUP(B9,Price!A:E,5,FALSE)</f>
        <v>52.28</v>
      </c>
      <c r="C11" s="1"/>
      <c r="D11" s="1"/>
    </row>
    <row r="12" spans="1:4">
      <c r="A12" s="2" t="s">
        <v>67</v>
      </c>
      <c r="B12" s="3">
        <f>VLOOKUP(B9,Price!A:F,6,FALSE)</f>
        <v>164.57</v>
      </c>
      <c r="C12" s="1"/>
      <c r="D12" s="1"/>
    </row>
    <row r="13" spans="1:4">
      <c r="A13" s="2" t="s">
        <v>68</v>
      </c>
      <c r="B13" s="3">
        <f>VLOOKUP(B9,Price!A:G,7,FALSE)</f>
        <v>5.51</v>
      </c>
      <c r="C13" s="1"/>
      <c r="D13" s="1"/>
    </row>
    <row r="14" spans="1:4">
      <c r="A14" s="2" t="s">
        <v>69</v>
      </c>
      <c r="B14" s="3">
        <f>VLOOKUP(B9,Price!A:H,8,FALSE)</f>
        <v>170.07999999999998</v>
      </c>
      <c r="C14" s="13"/>
      <c r="D14" s="1"/>
    </row>
    <row r="15" spans="1:4">
      <c r="A15" s="2" t="s">
        <v>43</v>
      </c>
      <c r="B15" s="45">
        <f>VLOOKUP(B9,Price!A:J,10,FALSE)</f>
        <v>9495000</v>
      </c>
      <c r="C15" s="1"/>
      <c r="D15" s="1"/>
    </row>
    <row r="16" spans="1:4">
      <c r="A16" s="2" t="s">
        <v>1</v>
      </c>
      <c r="B16" s="4">
        <f>B47</f>
        <v>325522.93714285718</v>
      </c>
      <c r="C16" s="1"/>
      <c r="D16" s="1"/>
    </row>
    <row r="17" spans="1:5">
      <c r="A17" s="1"/>
      <c r="B17" s="1"/>
      <c r="C17" s="1"/>
      <c r="D17" s="1"/>
    </row>
    <row r="18" spans="1:5">
      <c r="A18" s="86" t="s">
        <v>79</v>
      </c>
      <c r="B18" s="87"/>
      <c r="C18" s="87"/>
      <c r="D18" s="88"/>
    </row>
    <row r="19" spans="1:5">
      <c r="A19" s="5" t="s">
        <v>2</v>
      </c>
      <c r="B19" s="5" t="s">
        <v>3</v>
      </c>
      <c r="C19" s="81" t="s">
        <v>22</v>
      </c>
      <c r="D19" s="5" t="s">
        <v>23</v>
      </c>
    </row>
    <row r="20" spans="1:5">
      <c r="A20" s="46" t="s">
        <v>50</v>
      </c>
      <c r="B20" s="7">
        <v>50000</v>
      </c>
      <c r="C20" s="25"/>
      <c r="D20" s="8">
        <f>B20</f>
        <v>50000</v>
      </c>
      <c r="E20" s="1" t="s">
        <v>36</v>
      </c>
    </row>
    <row r="21" spans="1:5">
      <c r="A21" s="46" t="s">
        <v>70</v>
      </c>
      <c r="B21" s="8">
        <f>D21/1.12</f>
        <v>803124.99999999988</v>
      </c>
      <c r="C21" s="26">
        <f>B21*12%</f>
        <v>96374.999999999985</v>
      </c>
      <c r="D21" s="8">
        <f>(B15*10%-D20)</f>
        <v>899500</v>
      </c>
      <c r="E21" s="1" t="s">
        <v>4</v>
      </c>
    </row>
    <row r="22" spans="1:5">
      <c r="A22" s="46" t="s">
        <v>54</v>
      </c>
      <c r="B22" s="8">
        <f>D22/1.12</f>
        <v>49868.697478991591</v>
      </c>
      <c r="C22" s="26">
        <f>B22*12%</f>
        <v>5984.2436974789907</v>
      </c>
      <c r="D22" s="8">
        <f>(B15*10%)/17</f>
        <v>55852.941176470587</v>
      </c>
      <c r="E22" s="1" t="s">
        <v>5</v>
      </c>
    </row>
    <row r="23" spans="1:5">
      <c r="A23" s="46" t="s">
        <v>71</v>
      </c>
      <c r="B23" s="8">
        <f>B22</f>
        <v>49868.697478991591</v>
      </c>
      <c r="C23" s="8">
        <f>C22</f>
        <v>5984.2436974789907</v>
      </c>
      <c r="D23" s="8">
        <f>D22</f>
        <v>55852.941176470587</v>
      </c>
    </row>
    <row r="24" spans="1:5">
      <c r="A24" s="46" t="s">
        <v>73</v>
      </c>
      <c r="B24" s="8">
        <f>B23</f>
        <v>49868.697478991591</v>
      </c>
      <c r="C24" s="8">
        <f>C22</f>
        <v>5984.2436974789907</v>
      </c>
      <c r="D24" s="8">
        <f t="shared" ref="D24:D32" si="0">D23</f>
        <v>55852.941176470587</v>
      </c>
    </row>
    <row r="25" spans="1:5">
      <c r="A25" s="46" t="s">
        <v>74</v>
      </c>
      <c r="B25" s="8">
        <f>B24</f>
        <v>49868.697478991591</v>
      </c>
      <c r="C25" s="8">
        <f>C22</f>
        <v>5984.2436974789907</v>
      </c>
      <c r="D25" s="8">
        <f t="shared" si="0"/>
        <v>55852.941176470587</v>
      </c>
    </row>
    <row r="26" spans="1:5">
      <c r="A26" s="46" t="s">
        <v>80</v>
      </c>
      <c r="B26" s="8">
        <f>B25</f>
        <v>49868.697478991591</v>
      </c>
      <c r="C26" s="8">
        <f>C22</f>
        <v>5984.2436974789907</v>
      </c>
      <c r="D26" s="8">
        <f t="shared" si="0"/>
        <v>55852.941176470587</v>
      </c>
    </row>
    <row r="27" spans="1:5">
      <c r="A27" s="46" t="s">
        <v>75</v>
      </c>
      <c r="B27" s="8">
        <f t="shared" ref="B27:B32" si="1">B25</f>
        <v>49868.697478991591</v>
      </c>
      <c r="C27" s="8">
        <f t="shared" ref="C27:C32" si="2">C23</f>
        <v>5984.2436974789907</v>
      </c>
      <c r="D27" s="8">
        <f t="shared" si="0"/>
        <v>55852.941176470587</v>
      </c>
    </row>
    <row r="28" spans="1:5">
      <c r="A28" s="46" t="s">
        <v>81</v>
      </c>
      <c r="B28" s="8">
        <f t="shared" si="1"/>
        <v>49868.697478991591</v>
      </c>
      <c r="C28" s="8">
        <f t="shared" si="2"/>
        <v>5984.2436974789907</v>
      </c>
      <c r="D28" s="8">
        <f t="shared" si="0"/>
        <v>55852.941176470587</v>
      </c>
    </row>
    <row r="29" spans="1:5">
      <c r="A29" s="46" t="s">
        <v>86</v>
      </c>
      <c r="B29" s="8">
        <f t="shared" si="1"/>
        <v>49868.697478991591</v>
      </c>
      <c r="C29" s="8">
        <f t="shared" si="2"/>
        <v>5984.2436974789907</v>
      </c>
      <c r="D29" s="8">
        <f t="shared" si="0"/>
        <v>55852.941176470587</v>
      </c>
    </row>
    <row r="30" spans="1:5">
      <c r="A30" s="46" t="s">
        <v>88</v>
      </c>
      <c r="B30" s="8">
        <f t="shared" si="1"/>
        <v>49868.697478991591</v>
      </c>
      <c r="C30" s="8">
        <f t="shared" si="2"/>
        <v>5984.2436974789907</v>
      </c>
      <c r="D30" s="8">
        <f t="shared" si="0"/>
        <v>55852.941176470587</v>
      </c>
    </row>
    <row r="31" spans="1:5">
      <c r="A31" s="46" t="s">
        <v>87</v>
      </c>
      <c r="B31" s="8">
        <f t="shared" si="1"/>
        <v>49868.697478991591</v>
      </c>
      <c r="C31" s="8">
        <f t="shared" si="2"/>
        <v>5984.2436974789907</v>
      </c>
      <c r="D31" s="8">
        <f t="shared" si="0"/>
        <v>55852.941176470587</v>
      </c>
    </row>
    <row r="32" spans="1:5">
      <c r="A32" s="46" t="s">
        <v>89</v>
      </c>
      <c r="B32" s="8">
        <f t="shared" si="1"/>
        <v>49868.697478991591</v>
      </c>
      <c r="C32" s="8">
        <f t="shared" si="2"/>
        <v>5984.2436974789907</v>
      </c>
      <c r="D32" s="8">
        <f t="shared" si="0"/>
        <v>55852.941176470587</v>
      </c>
    </row>
    <row r="33" spans="1:5">
      <c r="A33" s="46" t="s">
        <v>90</v>
      </c>
      <c r="B33" s="8">
        <f t="shared" ref="B33:D38" si="3">B32</f>
        <v>49868.697478991591</v>
      </c>
      <c r="C33" s="8">
        <f t="shared" si="3"/>
        <v>5984.2436974789907</v>
      </c>
      <c r="D33" s="8">
        <f t="shared" si="3"/>
        <v>55852.941176470587</v>
      </c>
    </row>
    <row r="34" spans="1:5">
      <c r="A34" s="46" t="s">
        <v>91</v>
      </c>
      <c r="B34" s="8">
        <f t="shared" si="3"/>
        <v>49868.697478991591</v>
      </c>
      <c r="C34" s="8">
        <f t="shared" si="3"/>
        <v>5984.2436974789907</v>
      </c>
      <c r="D34" s="8">
        <f t="shared" si="3"/>
        <v>55852.941176470587</v>
      </c>
    </row>
    <row r="35" spans="1:5">
      <c r="A35" s="46" t="s">
        <v>92</v>
      </c>
      <c r="B35" s="8">
        <f t="shared" si="3"/>
        <v>49868.697478991591</v>
      </c>
      <c r="C35" s="8">
        <f t="shared" si="3"/>
        <v>5984.2436974789907</v>
      </c>
      <c r="D35" s="8">
        <f t="shared" si="3"/>
        <v>55852.941176470587</v>
      </c>
    </row>
    <row r="36" spans="1:5">
      <c r="A36" s="46" t="s">
        <v>93</v>
      </c>
      <c r="B36" s="8">
        <f t="shared" si="3"/>
        <v>49868.697478991591</v>
      </c>
      <c r="C36" s="8">
        <f t="shared" si="3"/>
        <v>5984.2436974789907</v>
      </c>
      <c r="D36" s="8">
        <f t="shared" si="3"/>
        <v>55852.941176470587</v>
      </c>
    </row>
    <row r="37" spans="1:5">
      <c r="A37" s="46" t="s">
        <v>103</v>
      </c>
      <c r="B37" s="8">
        <f t="shared" si="3"/>
        <v>49868.697478991591</v>
      </c>
      <c r="C37" s="8">
        <f t="shared" si="3"/>
        <v>5984.2436974789907</v>
      </c>
      <c r="D37" s="8">
        <f t="shared" si="3"/>
        <v>55852.941176470587</v>
      </c>
    </row>
    <row r="38" spans="1:5">
      <c r="A38" s="46" t="s">
        <v>94</v>
      </c>
      <c r="B38" s="8">
        <f t="shared" si="3"/>
        <v>49868.697478991591</v>
      </c>
      <c r="C38" s="8">
        <f t="shared" si="3"/>
        <v>5984.2436974789907</v>
      </c>
      <c r="D38" s="8">
        <f t="shared" si="3"/>
        <v>55852.941176470587</v>
      </c>
    </row>
    <row r="39" spans="1:5">
      <c r="A39" s="46"/>
      <c r="B39" s="8"/>
      <c r="C39" s="26">
        <f>B47</f>
        <v>325522.93714285718</v>
      </c>
      <c r="D39" s="8">
        <f>B47</f>
        <v>325522.93714285718</v>
      </c>
      <c r="E39" s="24" t="s">
        <v>6</v>
      </c>
    </row>
    <row r="40" spans="1:5">
      <c r="A40" s="47" t="s">
        <v>104</v>
      </c>
      <c r="B40" s="11">
        <f>D40/1.12</f>
        <v>6782142.8571428563</v>
      </c>
      <c r="C40" s="27">
        <f>B40*12%</f>
        <v>813857.14285714272</v>
      </c>
      <c r="D40" s="11">
        <f>B15*80%</f>
        <v>7596000</v>
      </c>
      <c r="E40" s="28" t="s">
        <v>34</v>
      </c>
    </row>
    <row r="41" spans="1:5">
      <c r="A41" s="12"/>
      <c r="B41" s="12"/>
      <c r="C41" s="1"/>
      <c r="D41" s="1"/>
    </row>
    <row r="42" spans="1:5">
      <c r="A42" s="1" t="s">
        <v>44</v>
      </c>
      <c r="B42" s="13">
        <f>B15/1.12*3%</f>
        <v>254330.35714285713</v>
      </c>
      <c r="C42" s="1" t="s">
        <v>45</v>
      </c>
      <c r="D42" s="1"/>
    </row>
    <row r="43" spans="1:5">
      <c r="A43" s="1" t="s">
        <v>14</v>
      </c>
      <c r="B43" s="13">
        <f>34830</f>
        <v>34830</v>
      </c>
      <c r="C43" s="1"/>
      <c r="D43" s="1"/>
    </row>
    <row r="44" spans="1:5">
      <c r="A44" s="1" t="s">
        <v>15</v>
      </c>
      <c r="B44" s="13">
        <f>8028.58</f>
        <v>8028.58</v>
      </c>
      <c r="C44" s="1"/>
      <c r="D44" s="1"/>
    </row>
    <row r="45" spans="1:5">
      <c r="A45" s="1" t="s">
        <v>16</v>
      </c>
      <c r="B45" s="13">
        <f>3334</f>
        <v>3334</v>
      </c>
    </row>
    <row r="46" spans="1:5">
      <c r="A46" s="1" t="s">
        <v>35</v>
      </c>
      <c r="B46" s="41">
        <v>25000</v>
      </c>
    </row>
    <row r="47" spans="1:5">
      <c r="A47" s="1"/>
      <c r="B47" s="13">
        <f>SUM(B42:B46)</f>
        <v>325522.93714285718</v>
      </c>
    </row>
    <row r="48" spans="1:5">
      <c r="A48" s="1"/>
      <c r="B48" s="13"/>
    </row>
    <row r="49" spans="1:4">
      <c r="A49" s="1" t="s">
        <v>7</v>
      </c>
    </row>
    <row r="50" spans="1:4">
      <c r="A50" s="1" t="s">
        <v>57</v>
      </c>
      <c r="B50" s="14">
        <f>D40*0.04432</f>
        <v>336654.72</v>
      </c>
      <c r="C50" s="1" t="s">
        <v>60</v>
      </c>
      <c r="D50" s="14">
        <f>D40*0.0124</f>
        <v>94190.399999999994</v>
      </c>
    </row>
    <row r="51" spans="1:4">
      <c r="A51" s="1" t="s">
        <v>58</v>
      </c>
      <c r="B51" s="14">
        <f>D40*0.03054</f>
        <v>231981.84</v>
      </c>
      <c r="C51" s="1" t="s">
        <v>61</v>
      </c>
      <c r="D51" s="14">
        <f>D40*0.01168</f>
        <v>88721.279999999999</v>
      </c>
    </row>
    <row r="52" spans="1:4">
      <c r="A52" s="1" t="s">
        <v>59</v>
      </c>
      <c r="B52" s="14">
        <f>D40*0.0198</f>
        <v>150400.80000000002</v>
      </c>
      <c r="C52" s="1"/>
      <c r="D52" s="14"/>
    </row>
    <row r="53" spans="1:4" ht="14.25">
      <c r="A53" s="74" t="s">
        <v>55</v>
      </c>
      <c r="B53" s="75"/>
      <c r="C53" s="72"/>
      <c r="D53" s="75"/>
    </row>
    <row r="55" spans="1:4">
      <c r="A55" s="15" t="s">
        <v>13</v>
      </c>
      <c r="B55" s="15"/>
      <c r="C55" s="15"/>
    </row>
    <row r="56" spans="1:4">
      <c r="A56" s="15" t="s">
        <v>8</v>
      </c>
      <c r="B56" s="15"/>
      <c r="C56" s="15"/>
    </row>
    <row r="57" spans="1:4">
      <c r="A57" s="15" t="s">
        <v>9</v>
      </c>
      <c r="B57" s="15"/>
      <c r="C57" s="15"/>
    </row>
    <row r="58" spans="1:4">
      <c r="A58" s="15" t="s">
        <v>10</v>
      </c>
      <c r="B58" s="15"/>
      <c r="C58" s="15"/>
    </row>
    <row r="59" spans="1:4">
      <c r="A59" s="15" t="s">
        <v>32</v>
      </c>
      <c r="B59" s="15"/>
      <c r="C59" s="15"/>
    </row>
    <row r="60" spans="1:4">
      <c r="A60" s="15" t="s">
        <v>33</v>
      </c>
      <c r="B60" s="15"/>
      <c r="C60" s="15"/>
    </row>
    <row r="62" spans="1:4">
      <c r="A62" s="16" t="s">
        <v>11</v>
      </c>
    </row>
    <row r="63" spans="1:4">
      <c r="A63" s="17"/>
    </row>
    <row r="64" spans="1:4">
      <c r="A64" s="17"/>
    </row>
    <row r="65" spans="1:3">
      <c r="A65" s="18"/>
      <c r="C65" s="29"/>
    </row>
    <row r="66" spans="1:3">
      <c r="A66" s="30" t="s">
        <v>24</v>
      </c>
      <c r="C66" s="19" t="s">
        <v>24</v>
      </c>
    </row>
    <row r="67" spans="1:3">
      <c r="A67" s="22"/>
    </row>
    <row r="68" spans="1:3">
      <c r="A68" s="21"/>
    </row>
    <row r="69" spans="1:3">
      <c r="A69" s="19"/>
    </row>
    <row r="71" spans="1:3">
      <c r="A71" s="29"/>
    </row>
    <row r="72" spans="1:3">
      <c r="A72" s="32" t="s">
        <v>25</v>
      </c>
    </row>
    <row r="73" spans="1:3">
      <c r="A73" s="31" t="s">
        <v>26</v>
      </c>
    </row>
  </sheetData>
  <sheetProtection sheet="1" objects="1" scenarios="1"/>
  <protectedRanges>
    <protectedRange sqref="A73" name="Range8_1_1_2"/>
    <protectedRange sqref="A71" name="Range7_1_1_2"/>
    <protectedRange sqref="C65" name="Range6_1_1_2"/>
    <protectedRange sqref="A65" name="Range5_1_1_2"/>
    <protectedRange sqref="E6" name="Range2_1_1_2"/>
    <protectedRange sqref="A6" name="Range1_1_1_2"/>
    <protectedRange sqref="A40" name="Range4_4_2_1_1_2_1"/>
  </protectedRanges>
  <mergeCells count="2">
    <mergeCell ref="A8:B8"/>
    <mergeCell ref="A18:D18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6:E64"/>
  <sheetViews>
    <sheetView topLeftCell="A12" workbookViewId="0">
      <selection activeCell="H31" sqref="H31"/>
    </sheetView>
  </sheetViews>
  <sheetFormatPr defaultRowHeight="12.75"/>
  <cols>
    <col min="1" max="1" width="28.140625" customWidth="1"/>
    <col min="2" max="2" width="17.42578125" customWidth="1"/>
    <col min="3" max="3" width="22.85546875" customWidth="1"/>
    <col min="4" max="4" width="17" customWidth="1"/>
    <col min="5" max="5" width="20.5703125" customWidth="1"/>
  </cols>
  <sheetData>
    <row r="6" spans="1:4">
      <c r="A6" s="1" t="s">
        <v>17</v>
      </c>
      <c r="B6" s="1"/>
      <c r="C6" s="1"/>
      <c r="D6" s="1" t="s">
        <v>20</v>
      </c>
    </row>
    <row r="7" spans="1:4">
      <c r="A7" s="1"/>
      <c r="B7" s="1"/>
      <c r="C7" s="1"/>
      <c r="D7" s="1"/>
    </row>
    <row r="8" spans="1:4">
      <c r="A8" s="84" t="s">
        <v>95</v>
      </c>
      <c r="B8" s="85"/>
      <c r="C8" s="1"/>
      <c r="D8" s="1"/>
    </row>
    <row r="9" spans="1:4">
      <c r="A9" s="2" t="s">
        <v>0</v>
      </c>
      <c r="B9" s="3" t="str">
        <f>Cash30!B9</f>
        <v>Unit 1</v>
      </c>
      <c r="C9" s="1"/>
      <c r="D9" s="1"/>
    </row>
    <row r="10" spans="1:4">
      <c r="A10" s="2" t="s">
        <v>12</v>
      </c>
      <c r="B10" s="36" t="str">
        <f>VLOOKUP(B9,Price!A:D,4,FALSE)</f>
        <v xml:space="preserve">Townhouse </v>
      </c>
      <c r="C10" s="1"/>
      <c r="D10" s="1"/>
    </row>
    <row r="11" spans="1:4">
      <c r="A11" s="2" t="s">
        <v>19</v>
      </c>
      <c r="B11" s="36">
        <f>VLOOKUP(B9,Price!A:E,5,FALSE)</f>
        <v>52.28</v>
      </c>
      <c r="C11" s="1"/>
      <c r="D11" s="1"/>
    </row>
    <row r="12" spans="1:4">
      <c r="A12" s="2" t="s">
        <v>67</v>
      </c>
      <c r="B12" s="3">
        <f>VLOOKUP(B9,Price!A:F,6,FALSE)</f>
        <v>164.57</v>
      </c>
      <c r="C12" s="1"/>
      <c r="D12" s="1"/>
    </row>
    <row r="13" spans="1:4">
      <c r="A13" s="2" t="s">
        <v>68</v>
      </c>
      <c r="B13" s="3">
        <f>VLOOKUP(B9,Price!A:G,7,FALSE)</f>
        <v>5.51</v>
      </c>
      <c r="C13" s="1"/>
      <c r="D13" s="1"/>
    </row>
    <row r="14" spans="1:4">
      <c r="A14" s="2" t="s">
        <v>69</v>
      </c>
      <c r="B14" s="3">
        <f>VLOOKUP(B9,Price!A:H,8,FALSE)</f>
        <v>170.07999999999998</v>
      </c>
      <c r="C14" s="1"/>
      <c r="D14" s="1"/>
    </row>
    <row r="15" spans="1:4">
      <c r="A15" s="2" t="s">
        <v>43</v>
      </c>
      <c r="B15" s="45">
        <f>VLOOKUP(B9,Price!A:J,10,FALSE)</f>
        <v>9495000</v>
      </c>
      <c r="C15" s="1"/>
      <c r="D15" s="1"/>
    </row>
    <row r="16" spans="1:4">
      <c r="A16" s="2" t="s">
        <v>1</v>
      </c>
      <c r="B16" s="4">
        <f>B38</f>
        <v>300522.93714285712</v>
      </c>
      <c r="C16" s="1"/>
      <c r="D16" s="1"/>
    </row>
    <row r="17" spans="1:5">
      <c r="A17" s="1"/>
      <c r="B17" s="1"/>
      <c r="C17" s="1"/>
      <c r="D17" s="1"/>
    </row>
    <row r="18" spans="1:5">
      <c r="A18" s="86" t="s">
        <v>47</v>
      </c>
      <c r="B18" s="87"/>
      <c r="C18" s="87"/>
      <c r="D18" s="88"/>
    </row>
    <row r="19" spans="1:5">
      <c r="A19" s="5" t="s">
        <v>2</v>
      </c>
      <c r="B19" s="5" t="s">
        <v>3</v>
      </c>
      <c r="C19" s="49" t="s">
        <v>22</v>
      </c>
      <c r="D19" s="5" t="s">
        <v>23</v>
      </c>
    </row>
    <row r="20" spans="1:5">
      <c r="A20" s="46" t="s">
        <v>74</v>
      </c>
      <c r="B20" s="53">
        <v>50000</v>
      </c>
      <c r="C20" s="25"/>
      <c r="D20" s="8">
        <f>B20</f>
        <v>50000</v>
      </c>
      <c r="E20" s="1" t="s">
        <v>36</v>
      </c>
    </row>
    <row r="21" spans="1:5">
      <c r="A21" s="46" t="s">
        <v>80</v>
      </c>
      <c r="B21" s="48">
        <f>D21/1.12</f>
        <v>379241.07142857142</v>
      </c>
      <c r="C21" s="26">
        <f>B21*12%</f>
        <v>45508.928571428565</v>
      </c>
      <c r="D21" s="8">
        <f>B15*5%-B20</f>
        <v>424750</v>
      </c>
      <c r="E21" s="1" t="s">
        <v>4</v>
      </c>
    </row>
    <row r="22" spans="1:5">
      <c r="A22" s="46" t="s">
        <v>75</v>
      </c>
      <c r="B22" s="48">
        <f>D22/1.12</f>
        <v>115604.70779220777</v>
      </c>
      <c r="C22" s="26">
        <f>B22*12%</f>
        <v>13872.564935064933</v>
      </c>
      <c r="D22" s="8">
        <f>B15*15%/11</f>
        <v>129477.27272727272</v>
      </c>
      <c r="E22" s="1" t="s">
        <v>5</v>
      </c>
    </row>
    <row r="23" spans="1:5">
      <c r="A23" s="46" t="s">
        <v>81</v>
      </c>
      <c r="B23" s="48">
        <f>B22</f>
        <v>115604.70779220777</v>
      </c>
      <c r="C23" s="8">
        <f>C22</f>
        <v>13872.564935064933</v>
      </c>
      <c r="D23" s="8">
        <f>D22</f>
        <v>129477.27272727272</v>
      </c>
    </row>
    <row r="24" spans="1:5">
      <c r="A24" s="46" t="s">
        <v>86</v>
      </c>
      <c r="B24" s="48">
        <f>B23</f>
        <v>115604.70779220777</v>
      </c>
      <c r="C24" s="8">
        <f>C22</f>
        <v>13872.564935064933</v>
      </c>
      <c r="D24" s="8">
        <f t="shared" ref="D24:D32" si="0">D23</f>
        <v>129477.27272727272</v>
      </c>
    </row>
    <row r="25" spans="1:5">
      <c r="A25" s="46" t="s">
        <v>88</v>
      </c>
      <c r="B25" s="48">
        <f>B24</f>
        <v>115604.70779220777</v>
      </c>
      <c r="C25" s="8">
        <f>C22</f>
        <v>13872.564935064933</v>
      </c>
      <c r="D25" s="8">
        <f t="shared" si="0"/>
        <v>129477.27272727272</v>
      </c>
    </row>
    <row r="26" spans="1:5">
      <c r="A26" s="46" t="s">
        <v>87</v>
      </c>
      <c r="B26" s="48">
        <f>B25</f>
        <v>115604.70779220777</v>
      </c>
      <c r="C26" s="8">
        <f>C22</f>
        <v>13872.564935064933</v>
      </c>
      <c r="D26" s="8">
        <f t="shared" si="0"/>
        <v>129477.27272727272</v>
      </c>
    </row>
    <row r="27" spans="1:5">
      <c r="A27" s="46" t="s">
        <v>89</v>
      </c>
      <c r="B27" s="48">
        <f>D27/1.12</f>
        <v>115604.70779220777</v>
      </c>
      <c r="C27" s="8">
        <f>B27*12%</f>
        <v>13872.564935064933</v>
      </c>
      <c r="D27" s="8">
        <f>D26</f>
        <v>129477.27272727272</v>
      </c>
    </row>
    <row r="28" spans="1:5">
      <c r="A28" s="46" t="s">
        <v>90</v>
      </c>
      <c r="B28" s="48">
        <f t="shared" ref="B28:B32" si="1">B26</f>
        <v>115604.70779220777</v>
      </c>
      <c r="C28" s="8">
        <f t="shared" ref="C28:C32" si="2">C24</f>
        <v>13872.564935064933</v>
      </c>
      <c r="D28" s="8">
        <f>D26</f>
        <v>129477.27272727272</v>
      </c>
    </row>
    <row r="29" spans="1:5">
      <c r="A29" s="46" t="s">
        <v>91</v>
      </c>
      <c r="B29" s="48">
        <f>B28</f>
        <v>115604.70779220777</v>
      </c>
      <c r="C29" s="8">
        <f t="shared" si="2"/>
        <v>13872.564935064933</v>
      </c>
      <c r="D29" s="8">
        <f t="shared" si="0"/>
        <v>129477.27272727272</v>
      </c>
    </row>
    <row r="30" spans="1:5">
      <c r="A30" s="46" t="s">
        <v>92</v>
      </c>
      <c r="B30" s="48">
        <f t="shared" si="1"/>
        <v>115604.70779220777</v>
      </c>
      <c r="C30" s="8">
        <f t="shared" si="2"/>
        <v>13872.564935064933</v>
      </c>
      <c r="D30" s="8">
        <f t="shared" si="0"/>
        <v>129477.27272727272</v>
      </c>
    </row>
    <row r="31" spans="1:5">
      <c r="A31" s="46" t="s">
        <v>93</v>
      </c>
      <c r="B31" s="48">
        <f>B30</f>
        <v>115604.70779220777</v>
      </c>
      <c r="C31" s="8">
        <f>C30</f>
        <v>13872.564935064933</v>
      </c>
      <c r="D31" s="8">
        <f t="shared" si="0"/>
        <v>129477.27272727272</v>
      </c>
    </row>
    <row r="32" spans="1:5">
      <c r="A32" s="46" t="s">
        <v>103</v>
      </c>
      <c r="B32" s="48">
        <f t="shared" si="1"/>
        <v>115604.70779220777</v>
      </c>
      <c r="C32" s="8">
        <f t="shared" si="2"/>
        <v>13872.564935064933</v>
      </c>
      <c r="D32" s="8">
        <f t="shared" si="0"/>
        <v>129477.27272727272</v>
      </c>
    </row>
    <row r="33" spans="1:5">
      <c r="A33" s="46"/>
      <c r="B33" s="48"/>
      <c r="C33" s="26">
        <f>B38</f>
        <v>300522.93714285712</v>
      </c>
      <c r="D33" s="8">
        <f>B38</f>
        <v>300522.93714285712</v>
      </c>
      <c r="E33" s="24" t="s">
        <v>6</v>
      </c>
    </row>
    <row r="34" spans="1:5">
      <c r="A34" s="47" t="s">
        <v>94</v>
      </c>
      <c r="B34" s="54">
        <f>D34/1.12</f>
        <v>6782142.8571428563</v>
      </c>
      <c r="C34" s="27">
        <f>B34*12%</f>
        <v>813857.14285714272</v>
      </c>
      <c r="D34" s="11">
        <f>B15*80%</f>
        <v>7596000</v>
      </c>
      <c r="E34" s="28" t="s">
        <v>34</v>
      </c>
    </row>
    <row r="35" spans="1:5">
      <c r="A35" s="12"/>
      <c r="B35" s="12"/>
      <c r="C35" s="1"/>
      <c r="D35" s="1"/>
    </row>
    <row r="36" spans="1:5">
      <c r="A36" s="1" t="s">
        <v>44</v>
      </c>
      <c r="B36" s="13">
        <f>B15/1.12*3%</f>
        <v>254330.35714285713</v>
      </c>
      <c r="C36" s="1" t="s">
        <v>45</v>
      </c>
      <c r="D36" s="1"/>
    </row>
    <row r="37" spans="1:5">
      <c r="A37" s="1" t="s">
        <v>102</v>
      </c>
      <c r="B37" s="41">
        <v>46192.58</v>
      </c>
      <c r="C37" s="1"/>
      <c r="D37" s="1"/>
    </row>
    <row r="38" spans="1:5">
      <c r="A38" s="1"/>
      <c r="B38" s="13">
        <f>SUM(B36:B37)</f>
        <v>300522.93714285712</v>
      </c>
    </row>
    <row r="39" spans="1:5">
      <c r="A39" s="1"/>
      <c r="B39" s="13"/>
    </row>
    <row r="40" spans="1:5">
      <c r="A40" s="1" t="s">
        <v>7</v>
      </c>
    </row>
    <row r="41" spans="1:5">
      <c r="A41" s="1" t="s">
        <v>57</v>
      </c>
      <c r="B41" s="14">
        <f>D34*0.04432</f>
        <v>336654.72</v>
      </c>
      <c r="C41" s="1" t="s">
        <v>60</v>
      </c>
      <c r="D41" s="14">
        <f>D34*0.0124</f>
        <v>94190.399999999994</v>
      </c>
    </row>
    <row r="42" spans="1:5">
      <c r="A42" s="1" t="s">
        <v>58</v>
      </c>
      <c r="B42" s="14">
        <f>D34*0.03054</f>
        <v>231981.84</v>
      </c>
      <c r="C42" s="1" t="s">
        <v>61</v>
      </c>
      <c r="D42" s="14">
        <f>D34*0.01168</f>
        <v>88721.279999999999</v>
      </c>
    </row>
    <row r="43" spans="1:5">
      <c r="A43" s="1" t="s">
        <v>59</v>
      </c>
      <c r="B43" s="14">
        <f>D34*0.0198</f>
        <v>150400.80000000002</v>
      </c>
      <c r="C43" s="1"/>
      <c r="D43" s="14"/>
    </row>
    <row r="44" spans="1:5">
      <c r="A44" s="73" t="s">
        <v>55</v>
      </c>
      <c r="B44" s="14"/>
      <c r="C44" s="1"/>
      <c r="D44" s="14"/>
    </row>
    <row r="46" spans="1:5">
      <c r="A46" s="15" t="s">
        <v>13</v>
      </c>
      <c r="B46" s="15"/>
      <c r="C46" s="15"/>
    </row>
    <row r="47" spans="1:5">
      <c r="A47" s="15" t="s">
        <v>8</v>
      </c>
      <c r="B47" s="15"/>
      <c r="C47" s="15"/>
    </row>
    <row r="48" spans="1:5">
      <c r="A48" s="15" t="s">
        <v>9</v>
      </c>
      <c r="B48" s="15"/>
      <c r="C48" s="15"/>
    </row>
    <row r="49" spans="1:3">
      <c r="A49" s="15" t="s">
        <v>10</v>
      </c>
      <c r="B49" s="15"/>
      <c r="C49" s="15"/>
    </row>
    <row r="50" spans="1:3">
      <c r="A50" s="15" t="s">
        <v>32</v>
      </c>
      <c r="B50" s="15"/>
      <c r="C50" s="15"/>
    </row>
    <row r="51" spans="1:3">
      <c r="A51" s="15" t="s">
        <v>33</v>
      </c>
      <c r="B51" s="15"/>
      <c r="C51" s="15"/>
    </row>
    <row r="53" spans="1:3">
      <c r="A53" s="16" t="s">
        <v>11</v>
      </c>
    </row>
    <row r="54" spans="1:3">
      <c r="A54" s="17"/>
    </row>
    <row r="55" spans="1:3">
      <c r="A55" s="17"/>
    </row>
    <row r="56" spans="1:3">
      <c r="A56" s="18"/>
      <c r="C56" s="29"/>
    </row>
    <row r="57" spans="1:3">
      <c r="A57" s="30" t="s">
        <v>24</v>
      </c>
      <c r="C57" s="19" t="s">
        <v>24</v>
      </c>
    </row>
    <row r="58" spans="1:3">
      <c r="A58" s="22"/>
    </row>
    <row r="59" spans="1:3">
      <c r="A59" s="21"/>
    </row>
    <row r="60" spans="1:3">
      <c r="A60" s="19"/>
    </row>
    <row r="62" spans="1:3">
      <c r="A62" s="29"/>
    </row>
    <row r="63" spans="1:3">
      <c r="A63" s="32" t="s">
        <v>25</v>
      </c>
    </row>
    <row r="64" spans="1:3">
      <c r="A64" s="31" t="s">
        <v>26</v>
      </c>
    </row>
  </sheetData>
  <protectedRanges>
    <protectedRange sqref="A64" name="Range8_1"/>
    <protectedRange sqref="A62" name="Range7_1"/>
    <protectedRange sqref="C56" name="Range6_1"/>
    <protectedRange sqref="A56" name="Range5_1"/>
    <protectedRange sqref="E6" name="Range2_1"/>
    <protectedRange sqref="A6" name="Range1_1"/>
    <protectedRange sqref="A34" name="Range4_4_2_1"/>
  </protectedRanges>
  <mergeCells count="2">
    <mergeCell ref="A8:B8"/>
    <mergeCell ref="A18:D18"/>
  </mergeCells>
  <pageMargins left="0.7" right="0.7" top="0.75" bottom="0.75" header="0.3" footer="0.3"/>
  <pageSetup paperSize="5" scale="87" orientation="portrait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6:E67"/>
  <sheetViews>
    <sheetView topLeftCell="A14" workbookViewId="0">
      <selection activeCell="A20" sqref="A20:A37"/>
    </sheetView>
  </sheetViews>
  <sheetFormatPr defaultRowHeight="12.75"/>
  <cols>
    <col min="1" max="1" width="28.140625" customWidth="1"/>
    <col min="2" max="2" width="17.42578125" customWidth="1"/>
    <col min="3" max="3" width="22.85546875" customWidth="1"/>
    <col min="4" max="4" width="17" customWidth="1"/>
    <col min="6" max="6" width="10.85546875" customWidth="1"/>
  </cols>
  <sheetData>
    <row r="6" spans="1:4">
      <c r="A6" s="1" t="s">
        <v>17</v>
      </c>
      <c r="B6" s="1"/>
      <c r="C6" s="1"/>
      <c r="D6" s="1" t="s">
        <v>20</v>
      </c>
    </row>
    <row r="7" spans="1:4">
      <c r="A7" s="1"/>
      <c r="B7" s="1"/>
      <c r="C7" s="1"/>
      <c r="D7" s="1"/>
    </row>
    <row r="8" spans="1:4">
      <c r="A8" s="84" t="s">
        <v>95</v>
      </c>
      <c r="B8" s="85"/>
      <c r="C8" s="1"/>
      <c r="D8" s="1"/>
    </row>
    <row r="9" spans="1:4">
      <c r="A9" s="2" t="s">
        <v>0</v>
      </c>
      <c r="B9" s="3" t="str">
        <f>Cash30!B9</f>
        <v>Unit 1</v>
      </c>
      <c r="C9" s="1"/>
      <c r="D9" s="1"/>
    </row>
    <row r="10" spans="1:4">
      <c r="A10" s="2" t="s">
        <v>12</v>
      </c>
      <c r="B10" s="36" t="str">
        <f>VLOOKUP(B9,Price!A:D,4,FALSE)</f>
        <v xml:space="preserve">Townhouse </v>
      </c>
      <c r="C10" s="1"/>
      <c r="D10" s="1"/>
    </row>
    <row r="11" spans="1:4">
      <c r="A11" s="2" t="s">
        <v>19</v>
      </c>
      <c r="B11" s="36">
        <f>VLOOKUP(B9,Price!A:E,5,FALSE)</f>
        <v>52.28</v>
      </c>
      <c r="C11" s="1"/>
      <c r="D11" s="1"/>
    </row>
    <row r="12" spans="1:4">
      <c r="A12" s="2" t="s">
        <v>67</v>
      </c>
      <c r="B12" s="3">
        <f>VLOOKUP(B9,Price!A:F,6,FALSE)</f>
        <v>164.57</v>
      </c>
      <c r="C12" s="1"/>
      <c r="D12" s="1"/>
    </row>
    <row r="13" spans="1:4">
      <c r="A13" s="2" t="s">
        <v>68</v>
      </c>
      <c r="B13" s="3">
        <f>VLOOKUP(B9,Price!A:G,7,FALSE)</f>
        <v>5.51</v>
      </c>
      <c r="C13" s="1"/>
      <c r="D13" s="1"/>
    </row>
    <row r="14" spans="1:4">
      <c r="A14" s="2" t="s">
        <v>69</v>
      </c>
      <c r="B14" s="3">
        <f>VLOOKUP(B9,Price!A:H,8,FALSE)</f>
        <v>170.07999999999998</v>
      </c>
      <c r="C14" s="13"/>
      <c r="D14" s="1"/>
    </row>
    <row r="15" spans="1:4">
      <c r="A15" s="2" t="s">
        <v>43</v>
      </c>
      <c r="B15" s="45">
        <f>VLOOKUP(B9,Price!A:J,10,FALSE)</f>
        <v>9495000</v>
      </c>
      <c r="C15" s="1"/>
      <c r="D15" s="1"/>
    </row>
    <row r="16" spans="1:4">
      <c r="A16" s="2" t="s">
        <v>1</v>
      </c>
      <c r="B16" s="4">
        <f>B41</f>
        <v>300522.93714285712</v>
      </c>
      <c r="C16" s="1"/>
      <c r="D16" s="1"/>
    </row>
    <row r="17" spans="1:5">
      <c r="A17" s="1"/>
      <c r="B17" s="1"/>
      <c r="C17" s="1"/>
      <c r="D17" s="1"/>
    </row>
    <row r="18" spans="1:5">
      <c r="A18" s="86" t="s">
        <v>78</v>
      </c>
      <c r="B18" s="87"/>
      <c r="C18" s="87"/>
      <c r="D18" s="88"/>
    </row>
    <row r="19" spans="1:5">
      <c r="A19" s="5" t="s">
        <v>2</v>
      </c>
      <c r="B19" s="5" t="s">
        <v>3</v>
      </c>
      <c r="C19" s="81" t="s">
        <v>22</v>
      </c>
      <c r="D19" s="5" t="s">
        <v>23</v>
      </c>
    </row>
    <row r="20" spans="1:5">
      <c r="A20" s="46" t="s">
        <v>74</v>
      </c>
      <c r="B20" s="7">
        <v>50000</v>
      </c>
      <c r="C20" s="25"/>
      <c r="D20" s="8">
        <f>B20</f>
        <v>50000</v>
      </c>
      <c r="E20" s="1" t="s">
        <v>36</v>
      </c>
    </row>
    <row r="21" spans="1:5">
      <c r="A21" s="46" t="s">
        <v>80</v>
      </c>
      <c r="B21" s="8">
        <f>D21/1.12</f>
        <v>379241.07142857142</v>
      </c>
      <c r="C21" s="26">
        <f>B21*12%</f>
        <v>45508.928571428565</v>
      </c>
      <c r="D21" s="8">
        <f>(B15*5%-D20)</f>
        <v>424750</v>
      </c>
      <c r="E21" s="1" t="s">
        <v>4</v>
      </c>
    </row>
    <row r="22" spans="1:5">
      <c r="A22" s="46" t="s">
        <v>75</v>
      </c>
      <c r="B22" s="8">
        <f>D22/1.12</f>
        <v>90832.270408163255</v>
      </c>
      <c r="C22" s="26">
        <f>B22*12%</f>
        <v>10899.87244897959</v>
      </c>
      <c r="D22" s="8">
        <f>(B15*15%/14)</f>
        <v>101732.14285714286</v>
      </c>
      <c r="E22" s="1" t="s">
        <v>5</v>
      </c>
    </row>
    <row r="23" spans="1:5">
      <c r="A23" s="46" t="s">
        <v>81</v>
      </c>
      <c r="B23" s="8">
        <f>B22</f>
        <v>90832.270408163255</v>
      </c>
      <c r="C23" s="8">
        <f>C22</f>
        <v>10899.87244897959</v>
      </c>
      <c r="D23" s="8">
        <f>D22</f>
        <v>101732.14285714286</v>
      </c>
    </row>
    <row r="24" spans="1:5">
      <c r="A24" s="46" t="s">
        <v>86</v>
      </c>
      <c r="B24" s="8">
        <f>B23</f>
        <v>90832.270408163255</v>
      </c>
      <c r="C24" s="8">
        <f>C22</f>
        <v>10899.87244897959</v>
      </c>
      <c r="D24" s="8">
        <f t="shared" ref="D24:D32" si="0">D23</f>
        <v>101732.14285714286</v>
      </c>
    </row>
    <row r="25" spans="1:5">
      <c r="A25" s="46" t="s">
        <v>88</v>
      </c>
      <c r="B25" s="8">
        <f>B24</f>
        <v>90832.270408163255</v>
      </c>
      <c r="C25" s="8">
        <f>C22</f>
        <v>10899.87244897959</v>
      </c>
      <c r="D25" s="8">
        <f t="shared" si="0"/>
        <v>101732.14285714286</v>
      </c>
    </row>
    <row r="26" spans="1:5">
      <c r="A26" s="46" t="s">
        <v>87</v>
      </c>
      <c r="B26" s="8">
        <f>B25</f>
        <v>90832.270408163255</v>
      </c>
      <c r="C26" s="8">
        <f>C22</f>
        <v>10899.87244897959</v>
      </c>
      <c r="D26" s="8">
        <f t="shared" si="0"/>
        <v>101732.14285714286</v>
      </c>
    </row>
    <row r="27" spans="1:5">
      <c r="A27" s="46" t="s">
        <v>89</v>
      </c>
      <c r="B27" s="8">
        <f t="shared" ref="B27:B32" si="1">B25</f>
        <v>90832.270408163255</v>
      </c>
      <c r="C27" s="8">
        <f t="shared" ref="C27:C32" si="2">C23</f>
        <v>10899.87244897959</v>
      </c>
      <c r="D27" s="8">
        <f t="shared" si="0"/>
        <v>101732.14285714286</v>
      </c>
    </row>
    <row r="28" spans="1:5">
      <c r="A28" s="46" t="s">
        <v>90</v>
      </c>
      <c r="B28" s="8">
        <f t="shared" si="1"/>
        <v>90832.270408163255</v>
      </c>
      <c r="C28" s="8">
        <f t="shared" si="2"/>
        <v>10899.87244897959</v>
      </c>
      <c r="D28" s="8">
        <f t="shared" si="0"/>
        <v>101732.14285714286</v>
      </c>
    </row>
    <row r="29" spans="1:5">
      <c r="A29" s="46" t="s">
        <v>91</v>
      </c>
      <c r="B29" s="8">
        <f t="shared" si="1"/>
        <v>90832.270408163255</v>
      </c>
      <c r="C29" s="8">
        <f t="shared" si="2"/>
        <v>10899.87244897959</v>
      </c>
      <c r="D29" s="8">
        <f t="shared" si="0"/>
        <v>101732.14285714286</v>
      </c>
    </row>
    <row r="30" spans="1:5">
      <c r="A30" s="46" t="s">
        <v>92</v>
      </c>
      <c r="B30" s="8">
        <f t="shared" si="1"/>
        <v>90832.270408163255</v>
      </c>
      <c r="C30" s="8">
        <f t="shared" si="2"/>
        <v>10899.87244897959</v>
      </c>
      <c r="D30" s="8">
        <f t="shared" si="0"/>
        <v>101732.14285714286</v>
      </c>
    </row>
    <row r="31" spans="1:5">
      <c r="A31" s="46" t="s">
        <v>93</v>
      </c>
      <c r="B31" s="8">
        <f t="shared" si="1"/>
        <v>90832.270408163255</v>
      </c>
      <c r="C31" s="8">
        <f t="shared" si="2"/>
        <v>10899.87244897959</v>
      </c>
      <c r="D31" s="8">
        <f t="shared" si="0"/>
        <v>101732.14285714286</v>
      </c>
    </row>
    <row r="32" spans="1:5">
      <c r="A32" s="46" t="s">
        <v>103</v>
      </c>
      <c r="B32" s="8">
        <f t="shared" si="1"/>
        <v>90832.270408163255</v>
      </c>
      <c r="C32" s="8">
        <f t="shared" si="2"/>
        <v>10899.87244897959</v>
      </c>
      <c r="D32" s="8">
        <f t="shared" si="0"/>
        <v>101732.14285714286</v>
      </c>
    </row>
    <row r="33" spans="1:5">
      <c r="A33" s="46" t="s">
        <v>94</v>
      </c>
      <c r="B33" s="8">
        <f t="shared" ref="B33:D35" si="3">B32</f>
        <v>90832.270408163255</v>
      </c>
      <c r="C33" s="8">
        <f t="shared" si="3"/>
        <v>10899.87244897959</v>
      </c>
      <c r="D33" s="8">
        <f t="shared" si="3"/>
        <v>101732.14285714286</v>
      </c>
    </row>
    <row r="34" spans="1:5">
      <c r="A34" s="46" t="s">
        <v>104</v>
      </c>
      <c r="B34" s="8">
        <f t="shared" si="3"/>
        <v>90832.270408163255</v>
      </c>
      <c r="C34" s="8">
        <f t="shared" si="3"/>
        <v>10899.87244897959</v>
      </c>
      <c r="D34" s="8">
        <f t="shared" si="3"/>
        <v>101732.14285714286</v>
      </c>
    </row>
    <row r="35" spans="1:5">
      <c r="A35" s="46" t="s">
        <v>106</v>
      </c>
      <c r="B35" s="8">
        <f t="shared" si="3"/>
        <v>90832.270408163255</v>
      </c>
      <c r="C35" s="8">
        <f t="shared" si="3"/>
        <v>10899.87244897959</v>
      </c>
      <c r="D35" s="8">
        <f t="shared" si="3"/>
        <v>101732.14285714286</v>
      </c>
    </row>
    <row r="36" spans="1:5">
      <c r="A36" s="46"/>
      <c r="B36" s="8"/>
      <c r="C36" s="26">
        <f>B41</f>
        <v>300522.93714285712</v>
      </c>
      <c r="D36" s="8">
        <f>B41</f>
        <v>300522.93714285712</v>
      </c>
      <c r="E36" s="24" t="s">
        <v>6</v>
      </c>
    </row>
    <row r="37" spans="1:5">
      <c r="A37" s="47" t="s">
        <v>107</v>
      </c>
      <c r="B37" s="11">
        <f>D37/1.12</f>
        <v>6782142.8571428563</v>
      </c>
      <c r="C37" s="27">
        <f>B37*12%</f>
        <v>813857.14285714272</v>
      </c>
      <c r="D37" s="11">
        <f>B15*80%</f>
        <v>7596000</v>
      </c>
      <c r="E37" s="28" t="s">
        <v>34</v>
      </c>
    </row>
    <row r="38" spans="1:5">
      <c r="A38" s="12"/>
      <c r="B38" s="12"/>
      <c r="C38" s="1"/>
      <c r="D38" s="1"/>
    </row>
    <row r="39" spans="1:5">
      <c r="A39" s="1" t="s">
        <v>44</v>
      </c>
      <c r="B39" s="13">
        <f>B15/1.12*3%</f>
        <v>254330.35714285713</v>
      </c>
      <c r="C39" s="1" t="s">
        <v>45</v>
      </c>
      <c r="D39" s="1"/>
    </row>
    <row r="40" spans="1:5">
      <c r="A40" s="1" t="s">
        <v>102</v>
      </c>
      <c r="B40" s="41">
        <v>46192.58</v>
      </c>
      <c r="C40" s="1"/>
      <c r="D40" s="1"/>
    </row>
    <row r="41" spans="1:5">
      <c r="A41" s="1"/>
      <c r="B41" s="13">
        <f>SUM(B39:B40)</f>
        <v>300522.93714285712</v>
      </c>
    </row>
    <row r="42" spans="1:5">
      <c r="A42" s="1"/>
      <c r="B42" s="13"/>
    </row>
    <row r="43" spans="1:5">
      <c r="A43" s="1" t="s">
        <v>7</v>
      </c>
    </row>
    <row r="44" spans="1:5">
      <c r="A44" s="1" t="s">
        <v>57</v>
      </c>
      <c r="B44" s="14">
        <f>D37*0.04432</f>
        <v>336654.72</v>
      </c>
      <c r="C44" s="1" t="s">
        <v>60</v>
      </c>
      <c r="D44" s="14">
        <f>D37*0.0124</f>
        <v>94190.399999999994</v>
      </c>
    </row>
    <row r="45" spans="1:5">
      <c r="A45" s="1" t="s">
        <v>58</v>
      </c>
      <c r="B45" s="14">
        <f>D37*0.03054</f>
        <v>231981.84</v>
      </c>
      <c r="C45" s="1" t="s">
        <v>61</v>
      </c>
      <c r="D45" s="14">
        <f>D37*0.01168</f>
        <v>88721.279999999999</v>
      </c>
    </row>
    <row r="46" spans="1:5">
      <c r="A46" s="1" t="s">
        <v>59</v>
      </c>
      <c r="B46" s="14">
        <f>D37*0.0198</f>
        <v>150400.80000000002</v>
      </c>
      <c r="C46" s="1"/>
      <c r="D46" s="14"/>
    </row>
    <row r="47" spans="1:5" ht="14.25">
      <c r="A47" s="74" t="s">
        <v>55</v>
      </c>
      <c r="B47" s="75"/>
      <c r="C47" s="72"/>
      <c r="D47" s="75"/>
    </row>
    <row r="49" spans="1:3">
      <c r="A49" s="15" t="s">
        <v>13</v>
      </c>
      <c r="B49" s="15"/>
      <c r="C49" s="15"/>
    </row>
    <row r="50" spans="1:3">
      <c r="A50" s="15" t="s">
        <v>8</v>
      </c>
      <c r="B50" s="15"/>
      <c r="C50" s="15"/>
    </row>
    <row r="51" spans="1:3">
      <c r="A51" s="15" t="s">
        <v>9</v>
      </c>
      <c r="B51" s="15"/>
      <c r="C51" s="15"/>
    </row>
    <row r="52" spans="1:3">
      <c r="A52" s="15" t="s">
        <v>10</v>
      </c>
      <c r="B52" s="15"/>
      <c r="C52" s="15"/>
    </row>
    <row r="53" spans="1:3">
      <c r="A53" s="15" t="s">
        <v>32</v>
      </c>
      <c r="B53" s="15"/>
      <c r="C53" s="15"/>
    </row>
    <row r="54" spans="1:3">
      <c r="A54" s="15" t="s">
        <v>33</v>
      </c>
      <c r="B54" s="15"/>
      <c r="C54" s="15"/>
    </row>
    <row r="56" spans="1:3">
      <c r="A56" s="16" t="s">
        <v>11</v>
      </c>
    </row>
    <row r="57" spans="1:3">
      <c r="A57" s="17"/>
    </row>
    <row r="58" spans="1:3">
      <c r="A58" s="17"/>
    </row>
    <row r="59" spans="1:3">
      <c r="A59" s="18"/>
      <c r="C59" s="29"/>
    </row>
    <row r="60" spans="1:3">
      <c r="A60" s="30" t="s">
        <v>24</v>
      </c>
      <c r="C60" s="19" t="s">
        <v>24</v>
      </c>
    </row>
    <row r="61" spans="1:3">
      <c r="A61" s="22"/>
    </row>
    <row r="62" spans="1:3">
      <c r="A62" s="21"/>
    </row>
    <row r="63" spans="1:3">
      <c r="A63" s="19"/>
    </row>
    <row r="65" spans="1:1">
      <c r="A65" s="29"/>
    </row>
    <row r="66" spans="1:1">
      <c r="A66" s="32" t="s">
        <v>25</v>
      </c>
    </row>
    <row r="67" spans="1:1">
      <c r="A67" s="31" t="s">
        <v>26</v>
      </c>
    </row>
  </sheetData>
  <protectedRanges>
    <protectedRange sqref="A67" name="Range8_1_1"/>
    <protectedRange sqref="A65" name="Range7_1_1"/>
    <protectedRange sqref="C59" name="Range6_1_1"/>
    <protectedRange sqref="A59" name="Range5_1_1"/>
    <protectedRange sqref="E6" name="Range2_1_1"/>
    <protectedRange sqref="A6" name="Range1_1_1"/>
    <protectedRange sqref="A37" name="Range4_4_2_1_2_1_1"/>
  </protectedRanges>
  <mergeCells count="2">
    <mergeCell ref="A8:B8"/>
    <mergeCell ref="A18:D18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6:E73"/>
  <sheetViews>
    <sheetView topLeftCell="A15" workbookViewId="0">
      <selection activeCell="A20" sqref="A20:A40"/>
    </sheetView>
  </sheetViews>
  <sheetFormatPr defaultRowHeight="12.75"/>
  <cols>
    <col min="1" max="1" width="28.140625" customWidth="1"/>
    <col min="2" max="2" width="17.42578125" customWidth="1"/>
    <col min="3" max="3" width="22.85546875" customWidth="1"/>
    <col min="4" max="4" width="17" customWidth="1"/>
    <col min="6" max="6" width="10.85546875" customWidth="1"/>
  </cols>
  <sheetData>
    <row r="6" spans="1:4">
      <c r="A6" s="1" t="s">
        <v>17</v>
      </c>
      <c r="B6" s="1"/>
      <c r="C6" s="1"/>
      <c r="D6" s="1" t="s">
        <v>20</v>
      </c>
    </row>
    <row r="7" spans="1:4">
      <c r="A7" s="1"/>
      <c r="B7" s="1"/>
      <c r="C7" s="1"/>
      <c r="D7" s="1"/>
    </row>
    <row r="8" spans="1:4">
      <c r="A8" s="84" t="s">
        <v>42</v>
      </c>
      <c r="B8" s="85"/>
      <c r="C8" s="1"/>
      <c r="D8" s="1"/>
    </row>
    <row r="9" spans="1:4">
      <c r="A9" s="2" t="s">
        <v>0</v>
      </c>
      <c r="B9" s="3" t="str">
        <f>Cash30!B9</f>
        <v>Unit 1</v>
      </c>
      <c r="C9" s="1"/>
      <c r="D9" s="1"/>
    </row>
    <row r="10" spans="1:4">
      <c r="A10" s="2" t="s">
        <v>12</v>
      </c>
      <c r="B10" s="36" t="str">
        <f>VLOOKUP(B9,Price!A:D,4,FALSE)</f>
        <v xml:space="preserve">Townhouse </v>
      </c>
      <c r="C10" s="1"/>
      <c r="D10" s="1"/>
    </row>
    <row r="11" spans="1:4">
      <c r="A11" s="2" t="s">
        <v>19</v>
      </c>
      <c r="B11" s="36">
        <f>VLOOKUP(B9,Price!A:E,5,FALSE)</f>
        <v>52.28</v>
      </c>
      <c r="C11" s="1"/>
      <c r="D11" s="1"/>
    </row>
    <row r="12" spans="1:4">
      <c r="A12" s="2" t="s">
        <v>67</v>
      </c>
      <c r="B12" s="3">
        <f>VLOOKUP(B9,Price!A:F,6,FALSE)</f>
        <v>164.57</v>
      </c>
      <c r="C12" s="1"/>
      <c r="D12" s="1"/>
    </row>
    <row r="13" spans="1:4">
      <c r="A13" s="2" t="s">
        <v>68</v>
      </c>
      <c r="B13" s="3">
        <f>VLOOKUP(B9,Price!A:G,7,FALSE)</f>
        <v>5.51</v>
      </c>
      <c r="C13" s="1"/>
      <c r="D13" s="1"/>
    </row>
    <row r="14" spans="1:4">
      <c r="A14" s="2" t="s">
        <v>69</v>
      </c>
      <c r="B14" s="3">
        <f>VLOOKUP(B9,Price!A:H,8,FALSE)</f>
        <v>170.07999999999998</v>
      </c>
      <c r="C14" s="13"/>
      <c r="D14" s="1"/>
    </row>
    <row r="15" spans="1:4">
      <c r="A15" s="2" t="s">
        <v>43</v>
      </c>
      <c r="B15" s="45">
        <f>VLOOKUP(B9,Price!A:J,10,FALSE)</f>
        <v>9495000</v>
      </c>
      <c r="C15" s="1"/>
      <c r="D15" s="1"/>
    </row>
    <row r="16" spans="1:4">
      <c r="A16" s="2" t="s">
        <v>1</v>
      </c>
      <c r="B16" s="4">
        <f>B47</f>
        <v>325522.93714285718</v>
      </c>
      <c r="C16" s="1"/>
      <c r="D16" s="1"/>
    </row>
    <row r="17" spans="1:5">
      <c r="A17" s="1"/>
      <c r="B17" s="1"/>
      <c r="C17" s="1"/>
      <c r="D17" s="1"/>
    </row>
    <row r="18" spans="1:5">
      <c r="A18" s="86" t="s">
        <v>82</v>
      </c>
      <c r="B18" s="87"/>
      <c r="C18" s="87"/>
      <c r="D18" s="88"/>
    </row>
    <row r="19" spans="1:5">
      <c r="A19" s="5" t="s">
        <v>2</v>
      </c>
      <c r="B19" s="5" t="s">
        <v>3</v>
      </c>
      <c r="C19" s="81" t="s">
        <v>22</v>
      </c>
      <c r="D19" s="5" t="s">
        <v>23</v>
      </c>
    </row>
    <row r="20" spans="1:5">
      <c r="A20" s="46" t="s">
        <v>50</v>
      </c>
      <c r="B20" s="7">
        <v>50000</v>
      </c>
      <c r="C20" s="25"/>
      <c r="D20" s="8">
        <f>B20</f>
        <v>50000</v>
      </c>
      <c r="E20" s="1" t="s">
        <v>36</v>
      </c>
    </row>
    <row r="21" spans="1:5">
      <c r="A21" s="46" t="s">
        <v>70</v>
      </c>
      <c r="B21" s="8">
        <f>D21/1.12</f>
        <v>379241.07142857142</v>
      </c>
      <c r="C21" s="26">
        <f>B21*12%</f>
        <v>45508.928571428565</v>
      </c>
      <c r="D21" s="8">
        <f>(B15*5%-D20)</f>
        <v>424750</v>
      </c>
      <c r="E21" s="1" t="s">
        <v>4</v>
      </c>
    </row>
    <row r="22" spans="1:5">
      <c r="A22" s="46" t="s">
        <v>54</v>
      </c>
      <c r="B22" s="8">
        <f>D22/1.12</f>
        <v>74803.04621848739</v>
      </c>
      <c r="C22" s="26">
        <f>B22*12%</f>
        <v>8976.365546218487</v>
      </c>
      <c r="D22" s="8">
        <f>(B15*15%/17)</f>
        <v>83779.411764705888</v>
      </c>
      <c r="E22" s="1" t="s">
        <v>5</v>
      </c>
    </row>
    <row r="23" spans="1:5">
      <c r="A23" s="46" t="s">
        <v>71</v>
      </c>
      <c r="B23" s="8">
        <f>B22</f>
        <v>74803.04621848739</v>
      </c>
      <c r="C23" s="8">
        <f>C22</f>
        <v>8976.365546218487</v>
      </c>
      <c r="D23" s="8">
        <f>D22</f>
        <v>83779.411764705888</v>
      </c>
    </row>
    <row r="24" spans="1:5">
      <c r="A24" s="46" t="s">
        <v>73</v>
      </c>
      <c r="B24" s="8">
        <f>B23</f>
        <v>74803.04621848739</v>
      </c>
      <c r="C24" s="8">
        <f>C22</f>
        <v>8976.365546218487</v>
      </c>
      <c r="D24" s="8">
        <f t="shared" ref="D24:D32" si="0">D23</f>
        <v>83779.411764705888</v>
      </c>
    </row>
    <row r="25" spans="1:5">
      <c r="A25" s="46" t="s">
        <v>74</v>
      </c>
      <c r="B25" s="8">
        <f>B24</f>
        <v>74803.04621848739</v>
      </c>
      <c r="C25" s="8">
        <f>C22</f>
        <v>8976.365546218487</v>
      </c>
      <c r="D25" s="8">
        <f t="shared" si="0"/>
        <v>83779.411764705888</v>
      </c>
    </row>
    <row r="26" spans="1:5">
      <c r="A26" s="46" t="s">
        <v>80</v>
      </c>
      <c r="B26" s="8">
        <f>B25</f>
        <v>74803.04621848739</v>
      </c>
      <c r="C26" s="8">
        <f>C22</f>
        <v>8976.365546218487</v>
      </c>
      <c r="D26" s="8">
        <f t="shared" si="0"/>
        <v>83779.411764705888</v>
      </c>
    </row>
    <row r="27" spans="1:5">
      <c r="A27" s="46" t="s">
        <v>75</v>
      </c>
      <c r="B27" s="8">
        <f t="shared" ref="B27:B32" si="1">B25</f>
        <v>74803.04621848739</v>
      </c>
      <c r="C27" s="8">
        <f t="shared" ref="C27:C32" si="2">C23</f>
        <v>8976.365546218487</v>
      </c>
      <c r="D27" s="8">
        <f t="shared" si="0"/>
        <v>83779.411764705888</v>
      </c>
    </row>
    <row r="28" spans="1:5">
      <c r="A28" s="46" t="s">
        <v>81</v>
      </c>
      <c r="B28" s="8">
        <f t="shared" si="1"/>
        <v>74803.04621848739</v>
      </c>
      <c r="C28" s="8">
        <f t="shared" si="2"/>
        <v>8976.365546218487</v>
      </c>
      <c r="D28" s="8">
        <f t="shared" si="0"/>
        <v>83779.411764705888</v>
      </c>
    </row>
    <row r="29" spans="1:5">
      <c r="A29" s="46" t="s">
        <v>86</v>
      </c>
      <c r="B29" s="8">
        <f t="shared" si="1"/>
        <v>74803.04621848739</v>
      </c>
      <c r="C29" s="8">
        <f t="shared" si="2"/>
        <v>8976.365546218487</v>
      </c>
      <c r="D29" s="8">
        <f t="shared" si="0"/>
        <v>83779.411764705888</v>
      </c>
    </row>
    <row r="30" spans="1:5">
      <c r="A30" s="46" t="s">
        <v>88</v>
      </c>
      <c r="B30" s="8">
        <f t="shared" si="1"/>
        <v>74803.04621848739</v>
      </c>
      <c r="C30" s="8">
        <f t="shared" si="2"/>
        <v>8976.365546218487</v>
      </c>
      <c r="D30" s="8">
        <f t="shared" si="0"/>
        <v>83779.411764705888</v>
      </c>
    </row>
    <row r="31" spans="1:5">
      <c r="A31" s="46" t="s">
        <v>87</v>
      </c>
      <c r="B31" s="8">
        <f t="shared" si="1"/>
        <v>74803.04621848739</v>
      </c>
      <c r="C31" s="8">
        <f t="shared" si="2"/>
        <v>8976.365546218487</v>
      </c>
      <c r="D31" s="8">
        <f t="shared" si="0"/>
        <v>83779.411764705888</v>
      </c>
    </row>
    <row r="32" spans="1:5">
      <c r="A32" s="46" t="s">
        <v>89</v>
      </c>
      <c r="B32" s="8">
        <f t="shared" si="1"/>
        <v>74803.04621848739</v>
      </c>
      <c r="C32" s="8">
        <f t="shared" si="2"/>
        <v>8976.365546218487</v>
      </c>
      <c r="D32" s="8">
        <f t="shared" si="0"/>
        <v>83779.411764705888</v>
      </c>
    </row>
    <row r="33" spans="1:5">
      <c r="A33" s="46" t="s">
        <v>90</v>
      </c>
      <c r="B33" s="8">
        <f t="shared" ref="B33:D38" si="3">B32</f>
        <v>74803.04621848739</v>
      </c>
      <c r="C33" s="8">
        <f t="shared" si="3"/>
        <v>8976.365546218487</v>
      </c>
      <c r="D33" s="8">
        <f t="shared" si="3"/>
        <v>83779.411764705888</v>
      </c>
    </row>
    <row r="34" spans="1:5">
      <c r="A34" s="46" t="s">
        <v>91</v>
      </c>
      <c r="B34" s="8">
        <f t="shared" si="3"/>
        <v>74803.04621848739</v>
      </c>
      <c r="C34" s="8">
        <f t="shared" si="3"/>
        <v>8976.365546218487</v>
      </c>
      <c r="D34" s="8">
        <f t="shared" si="3"/>
        <v>83779.411764705888</v>
      </c>
    </row>
    <row r="35" spans="1:5">
      <c r="A35" s="46" t="s">
        <v>92</v>
      </c>
      <c r="B35" s="8">
        <f t="shared" si="3"/>
        <v>74803.04621848739</v>
      </c>
      <c r="C35" s="8">
        <f t="shared" si="3"/>
        <v>8976.365546218487</v>
      </c>
      <c r="D35" s="8">
        <f t="shared" si="3"/>
        <v>83779.411764705888</v>
      </c>
    </row>
    <row r="36" spans="1:5">
      <c r="A36" s="46" t="s">
        <v>93</v>
      </c>
      <c r="B36" s="8">
        <f t="shared" si="3"/>
        <v>74803.04621848739</v>
      </c>
      <c r="C36" s="8">
        <f t="shared" si="3"/>
        <v>8976.365546218487</v>
      </c>
      <c r="D36" s="8">
        <f t="shared" si="3"/>
        <v>83779.411764705888</v>
      </c>
    </row>
    <row r="37" spans="1:5">
      <c r="A37" s="46" t="s">
        <v>103</v>
      </c>
      <c r="B37" s="8">
        <f t="shared" si="3"/>
        <v>74803.04621848739</v>
      </c>
      <c r="C37" s="8">
        <f t="shared" si="3"/>
        <v>8976.365546218487</v>
      </c>
      <c r="D37" s="8">
        <f t="shared" si="3"/>
        <v>83779.411764705888</v>
      </c>
    </row>
    <row r="38" spans="1:5">
      <c r="A38" s="46" t="s">
        <v>94</v>
      </c>
      <c r="B38" s="8">
        <f t="shared" si="3"/>
        <v>74803.04621848739</v>
      </c>
      <c r="C38" s="8">
        <f t="shared" si="3"/>
        <v>8976.365546218487</v>
      </c>
      <c r="D38" s="8">
        <f t="shared" si="3"/>
        <v>83779.411764705888</v>
      </c>
    </row>
    <row r="39" spans="1:5">
      <c r="A39" s="46"/>
      <c r="B39" s="8"/>
      <c r="C39" s="26">
        <f>B47</f>
        <v>325522.93714285718</v>
      </c>
      <c r="D39" s="8">
        <f>B47</f>
        <v>325522.93714285718</v>
      </c>
      <c r="E39" s="24" t="s">
        <v>6</v>
      </c>
    </row>
    <row r="40" spans="1:5">
      <c r="A40" s="47" t="s">
        <v>104</v>
      </c>
      <c r="B40" s="11">
        <f>D40/1.12</f>
        <v>6782142.8571428563</v>
      </c>
      <c r="C40" s="27">
        <f>B40*12%</f>
        <v>813857.14285714272</v>
      </c>
      <c r="D40" s="11">
        <f>B15*80%</f>
        <v>7596000</v>
      </c>
      <c r="E40" s="28" t="s">
        <v>34</v>
      </c>
    </row>
    <row r="41" spans="1:5">
      <c r="A41" s="12"/>
      <c r="B41" s="12"/>
      <c r="C41" s="1"/>
      <c r="D41" s="1"/>
    </row>
    <row r="42" spans="1:5">
      <c r="A42" s="1" t="s">
        <v>44</v>
      </c>
      <c r="B42" s="13">
        <f>B15/1.12*3%</f>
        <v>254330.35714285713</v>
      </c>
      <c r="C42" s="1" t="s">
        <v>45</v>
      </c>
      <c r="D42" s="1"/>
    </row>
    <row r="43" spans="1:5">
      <c r="A43" s="1" t="s">
        <v>14</v>
      </c>
      <c r="B43" s="13">
        <f>34830</f>
        <v>34830</v>
      </c>
      <c r="C43" s="1"/>
      <c r="D43" s="1"/>
    </row>
    <row r="44" spans="1:5">
      <c r="A44" s="1" t="s">
        <v>15</v>
      </c>
      <c r="B44" s="13">
        <f>8028.58</f>
        <v>8028.58</v>
      </c>
      <c r="C44" s="1"/>
      <c r="D44" s="1"/>
    </row>
    <row r="45" spans="1:5">
      <c r="A45" s="1" t="s">
        <v>16</v>
      </c>
      <c r="B45" s="13">
        <f>3334</f>
        <v>3334</v>
      </c>
    </row>
    <row r="46" spans="1:5">
      <c r="A46" s="1" t="s">
        <v>35</v>
      </c>
      <c r="B46" s="41">
        <v>25000</v>
      </c>
    </row>
    <row r="47" spans="1:5">
      <c r="A47" s="1"/>
      <c r="B47" s="13">
        <f>SUM(B42:B46)</f>
        <v>325522.93714285718</v>
      </c>
    </row>
    <row r="48" spans="1:5">
      <c r="A48" s="1"/>
      <c r="B48" s="13"/>
    </row>
    <row r="49" spans="1:4">
      <c r="A49" s="1" t="s">
        <v>7</v>
      </c>
    </row>
    <row r="50" spans="1:4">
      <c r="A50" s="1" t="s">
        <v>57</v>
      </c>
      <c r="B50" s="14">
        <f>D40*0.04432</f>
        <v>336654.72</v>
      </c>
      <c r="C50" s="1" t="s">
        <v>60</v>
      </c>
      <c r="D50" s="14">
        <f>D40*0.0124</f>
        <v>94190.399999999994</v>
      </c>
    </row>
    <row r="51" spans="1:4">
      <c r="A51" s="1" t="s">
        <v>58</v>
      </c>
      <c r="B51" s="14">
        <f>D40*0.03054</f>
        <v>231981.84</v>
      </c>
      <c r="C51" s="1" t="s">
        <v>61</v>
      </c>
      <c r="D51" s="14">
        <f>D40*0.01168</f>
        <v>88721.279999999999</v>
      </c>
    </row>
    <row r="52" spans="1:4">
      <c r="A52" s="1" t="s">
        <v>59</v>
      </c>
      <c r="B52" s="14">
        <f>D40*0.0198</f>
        <v>150400.80000000002</v>
      </c>
      <c r="C52" s="1"/>
      <c r="D52" s="14"/>
    </row>
    <row r="53" spans="1:4" ht="14.25">
      <c r="A53" s="74" t="s">
        <v>55</v>
      </c>
      <c r="B53" s="75"/>
      <c r="C53" s="72"/>
      <c r="D53" s="75"/>
    </row>
    <row r="55" spans="1:4">
      <c r="A55" s="15" t="s">
        <v>13</v>
      </c>
      <c r="B55" s="15"/>
      <c r="C55" s="15"/>
    </row>
    <row r="56" spans="1:4">
      <c r="A56" s="15" t="s">
        <v>8</v>
      </c>
      <c r="B56" s="15"/>
      <c r="C56" s="15"/>
    </row>
    <row r="57" spans="1:4">
      <c r="A57" s="15" t="s">
        <v>9</v>
      </c>
      <c r="B57" s="15"/>
      <c r="C57" s="15"/>
    </row>
    <row r="58" spans="1:4">
      <c r="A58" s="15" t="s">
        <v>10</v>
      </c>
      <c r="B58" s="15"/>
      <c r="C58" s="15"/>
    </row>
    <row r="59" spans="1:4">
      <c r="A59" s="15" t="s">
        <v>32</v>
      </c>
      <c r="B59" s="15"/>
      <c r="C59" s="15"/>
    </row>
    <row r="60" spans="1:4">
      <c r="A60" s="15" t="s">
        <v>33</v>
      </c>
      <c r="B60" s="15"/>
      <c r="C60" s="15"/>
    </row>
    <row r="62" spans="1:4">
      <c r="A62" s="16" t="s">
        <v>11</v>
      </c>
    </row>
    <row r="63" spans="1:4">
      <c r="A63" s="17"/>
    </row>
    <row r="64" spans="1:4">
      <c r="A64" s="17"/>
    </row>
    <row r="65" spans="1:3">
      <c r="A65" s="18"/>
      <c r="C65" s="29"/>
    </row>
    <row r="66" spans="1:3">
      <c r="A66" s="30" t="s">
        <v>24</v>
      </c>
      <c r="C66" s="19" t="s">
        <v>24</v>
      </c>
    </row>
    <row r="67" spans="1:3">
      <c r="A67" s="22"/>
    </row>
    <row r="68" spans="1:3">
      <c r="A68" s="21"/>
    </row>
    <row r="69" spans="1:3">
      <c r="A69" s="19"/>
    </row>
    <row r="71" spans="1:3">
      <c r="A71" s="29"/>
    </row>
    <row r="72" spans="1:3">
      <c r="A72" s="32" t="s">
        <v>25</v>
      </c>
    </row>
    <row r="73" spans="1:3">
      <c r="A73" s="31" t="s">
        <v>26</v>
      </c>
    </row>
  </sheetData>
  <sheetProtection sheet="1" objects="1" scenarios="1"/>
  <protectedRanges>
    <protectedRange sqref="A73" name="Range8_1_1_3"/>
    <protectedRange sqref="A71" name="Range7_1_1_3"/>
    <protectedRange sqref="C65" name="Range6_1_1_3"/>
    <protectedRange sqref="A65" name="Range5_1_1_3"/>
    <protectedRange sqref="E6" name="Range2_1_1_3"/>
    <protectedRange sqref="A6" name="Range1_1_1_3"/>
    <protectedRange sqref="A40" name="Range4_4_2_1_1_2_1_1"/>
  </protectedRanges>
  <mergeCells count="2">
    <mergeCell ref="A8:B8"/>
    <mergeCell ref="A18:D18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6:E64"/>
  <sheetViews>
    <sheetView topLeftCell="A7" workbookViewId="0">
      <selection activeCell="B33" sqref="B33"/>
    </sheetView>
  </sheetViews>
  <sheetFormatPr defaultRowHeight="12.75"/>
  <cols>
    <col min="1" max="1" width="28.7109375" customWidth="1"/>
    <col min="2" max="2" width="17.42578125" customWidth="1"/>
    <col min="3" max="3" width="22.85546875" customWidth="1"/>
    <col min="4" max="4" width="17" customWidth="1"/>
    <col min="5" max="5" width="20.5703125" customWidth="1"/>
  </cols>
  <sheetData>
    <row r="6" spans="1:4">
      <c r="A6" s="1" t="s">
        <v>17</v>
      </c>
      <c r="B6" s="1"/>
      <c r="C6" s="1"/>
      <c r="D6" s="1" t="s">
        <v>20</v>
      </c>
    </row>
    <row r="7" spans="1:4">
      <c r="A7" s="1"/>
      <c r="B7" s="1"/>
      <c r="C7" s="1"/>
      <c r="D7" s="1"/>
    </row>
    <row r="8" spans="1:4">
      <c r="A8" s="84" t="s">
        <v>95</v>
      </c>
      <c r="B8" s="85"/>
      <c r="C8" s="1"/>
      <c r="D8" s="1"/>
    </row>
    <row r="9" spans="1:4">
      <c r="A9" s="2" t="s">
        <v>0</v>
      </c>
      <c r="B9" s="3" t="str">
        <f>Cash30!B9</f>
        <v>Unit 1</v>
      </c>
      <c r="C9" s="1"/>
      <c r="D9" s="1"/>
    </row>
    <row r="10" spans="1:4">
      <c r="A10" s="2" t="s">
        <v>12</v>
      </c>
      <c r="B10" s="36" t="str">
        <f>VLOOKUP(B9,Price!A:D,4,FALSE)</f>
        <v xml:space="preserve">Townhouse </v>
      </c>
      <c r="C10" s="1"/>
      <c r="D10" s="1"/>
    </row>
    <row r="11" spans="1:4">
      <c r="A11" s="2" t="s">
        <v>19</v>
      </c>
      <c r="B11" s="36">
        <f>VLOOKUP(B9,Price!A:E,5,FALSE)</f>
        <v>52.28</v>
      </c>
      <c r="C11" s="1"/>
      <c r="D11" s="1"/>
    </row>
    <row r="12" spans="1:4">
      <c r="A12" s="2" t="s">
        <v>67</v>
      </c>
      <c r="B12" s="3">
        <f>VLOOKUP(B9,Price!A:F,6,FALSE)</f>
        <v>164.57</v>
      </c>
      <c r="C12" s="1"/>
      <c r="D12" s="1"/>
    </row>
    <row r="13" spans="1:4">
      <c r="A13" s="2" t="s">
        <v>68</v>
      </c>
      <c r="B13" s="3">
        <f>VLOOKUP(B9,Price!A:G,7,FALSE)</f>
        <v>5.51</v>
      </c>
      <c r="C13" s="1"/>
      <c r="D13" s="1"/>
    </row>
    <row r="14" spans="1:4">
      <c r="A14" s="2" t="s">
        <v>69</v>
      </c>
      <c r="B14" s="3">
        <f>VLOOKUP(B9,Price!A:H,8,FALSE)</f>
        <v>170.07999999999998</v>
      </c>
      <c r="C14" s="1"/>
      <c r="D14" s="1"/>
    </row>
    <row r="15" spans="1:4">
      <c r="A15" s="2" t="s">
        <v>43</v>
      </c>
      <c r="B15" s="45">
        <f>VLOOKUP(B9,Price!A:J,10,FALSE)</f>
        <v>9495000</v>
      </c>
      <c r="C15" s="1"/>
      <c r="D15" s="1"/>
    </row>
    <row r="16" spans="1:4">
      <c r="A16" s="2" t="s">
        <v>1</v>
      </c>
      <c r="B16" s="4">
        <f>B38</f>
        <v>300522.93714285712</v>
      </c>
      <c r="C16" s="1"/>
      <c r="D16" s="1"/>
    </row>
    <row r="17" spans="1:5">
      <c r="A17" s="1"/>
      <c r="B17" s="1"/>
      <c r="C17" s="1"/>
      <c r="D17" s="1"/>
    </row>
    <row r="18" spans="1:5">
      <c r="A18" s="89" t="s">
        <v>64</v>
      </c>
      <c r="B18" s="90"/>
      <c r="C18" s="90"/>
      <c r="D18" s="91"/>
    </row>
    <row r="19" spans="1:5">
      <c r="A19" s="5" t="s">
        <v>2</v>
      </c>
      <c r="B19" s="5" t="s">
        <v>3</v>
      </c>
      <c r="C19" s="55" t="s">
        <v>22</v>
      </c>
      <c r="D19" s="5" t="s">
        <v>23</v>
      </c>
    </row>
    <row r="20" spans="1:5">
      <c r="A20" s="46" t="s">
        <v>74</v>
      </c>
      <c r="B20" s="53">
        <v>50000</v>
      </c>
      <c r="C20" s="25"/>
      <c r="D20" s="8">
        <f>B20</f>
        <v>50000</v>
      </c>
      <c r="E20" s="1" t="s">
        <v>36</v>
      </c>
    </row>
    <row r="21" spans="1:5">
      <c r="A21" s="46" t="s">
        <v>80</v>
      </c>
      <c r="B21" s="48">
        <f>D21/1.12</f>
        <v>379241.07142857142</v>
      </c>
      <c r="C21" s="26">
        <f>B21*12%</f>
        <v>45508.928571428565</v>
      </c>
      <c r="D21" s="8">
        <f>B15*5%-B20</f>
        <v>424750</v>
      </c>
      <c r="E21" s="1" t="s">
        <v>4</v>
      </c>
    </row>
    <row r="22" spans="1:5">
      <c r="A22" s="46" t="s">
        <v>75</v>
      </c>
      <c r="B22" s="48">
        <f>D22/1.12</f>
        <v>84776.78571428571</v>
      </c>
      <c r="C22" s="26">
        <f>B22*12%</f>
        <v>10173.214285714284</v>
      </c>
      <c r="D22" s="8">
        <f>(B15*10%)/10</f>
        <v>94950</v>
      </c>
      <c r="E22" s="1" t="s">
        <v>5</v>
      </c>
    </row>
    <row r="23" spans="1:5">
      <c r="A23" s="46" t="s">
        <v>81</v>
      </c>
      <c r="B23" s="48">
        <f>B22</f>
        <v>84776.78571428571</v>
      </c>
      <c r="C23" s="8">
        <f>C22</f>
        <v>10173.214285714284</v>
      </c>
      <c r="D23" s="8">
        <f>D22</f>
        <v>94950</v>
      </c>
    </row>
    <row r="24" spans="1:5">
      <c r="A24" s="46" t="s">
        <v>86</v>
      </c>
      <c r="B24" s="48">
        <f>B23</f>
        <v>84776.78571428571</v>
      </c>
      <c r="C24" s="8">
        <f>C22</f>
        <v>10173.214285714284</v>
      </c>
      <c r="D24" s="8">
        <f t="shared" ref="D24:D31" si="0">D23</f>
        <v>94950</v>
      </c>
    </row>
    <row r="25" spans="1:5">
      <c r="A25" s="46" t="s">
        <v>88</v>
      </c>
      <c r="B25" s="48">
        <f>B24</f>
        <v>84776.78571428571</v>
      </c>
      <c r="C25" s="8">
        <f>C22</f>
        <v>10173.214285714284</v>
      </c>
      <c r="D25" s="8">
        <f t="shared" si="0"/>
        <v>94950</v>
      </c>
    </row>
    <row r="26" spans="1:5">
      <c r="A26" s="46" t="s">
        <v>87</v>
      </c>
      <c r="B26" s="48">
        <f>B25</f>
        <v>84776.78571428571</v>
      </c>
      <c r="C26" s="8">
        <f>C22</f>
        <v>10173.214285714284</v>
      </c>
      <c r="D26" s="8">
        <f t="shared" si="0"/>
        <v>94950</v>
      </c>
    </row>
    <row r="27" spans="1:5">
      <c r="A27" s="46" t="s">
        <v>89</v>
      </c>
      <c r="B27" s="48">
        <f>B25</f>
        <v>84776.78571428571</v>
      </c>
      <c r="C27" s="8">
        <f t="shared" ref="C27:C31" si="1">C23</f>
        <v>10173.214285714284</v>
      </c>
      <c r="D27" s="8">
        <f t="shared" si="0"/>
        <v>94950</v>
      </c>
    </row>
    <row r="28" spans="1:5">
      <c r="A28" s="46" t="s">
        <v>90</v>
      </c>
      <c r="B28" s="48">
        <f t="shared" ref="B28:B31" si="2">B26</f>
        <v>84776.78571428571</v>
      </c>
      <c r="C28" s="8">
        <f t="shared" si="1"/>
        <v>10173.214285714284</v>
      </c>
      <c r="D28" s="8">
        <f t="shared" si="0"/>
        <v>94950</v>
      </c>
    </row>
    <row r="29" spans="1:5">
      <c r="A29" s="46" t="s">
        <v>91</v>
      </c>
      <c r="B29" s="48">
        <f t="shared" si="2"/>
        <v>84776.78571428571</v>
      </c>
      <c r="C29" s="8">
        <f t="shared" si="1"/>
        <v>10173.214285714284</v>
      </c>
      <c r="D29" s="8">
        <f t="shared" si="0"/>
        <v>94950</v>
      </c>
    </row>
    <row r="30" spans="1:5">
      <c r="A30" s="46" t="s">
        <v>92</v>
      </c>
      <c r="B30" s="48">
        <f t="shared" si="2"/>
        <v>84776.78571428571</v>
      </c>
      <c r="C30" s="8">
        <f t="shared" si="1"/>
        <v>10173.214285714284</v>
      </c>
      <c r="D30" s="8">
        <f t="shared" si="0"/>
        <v>94950</v>
      </c>
    </row>
    <row r="31" spans="1:5">
      <c r="A31" s="46" t="s">
        <v>93</v>
      </c>
      <c r="B31" s="48">
        <f t="shared" si="2"/>
        <v>84776.78571428571</v>
      </c>
      <c r="C31" s="8">
        <f t="shared" si="1"/>
        <v>10173.214285714284</v>
      </c>
      <c r="D31" s="8">
        <f t="shared" si="0"/>
        <v>94950</v>
      </c>
    </row>
    <row r="32" spans="1:5">
      <c r="A32" s="46" t="s">
        <v>103</v>
      </c>
      <c r="B32" s="48">
        <f>(B15*5%)/1.12</f>
        <v>423883.92857142852</v>
      </c>
      <c r="C32" s="8">
        <f>B32*12%</f>
        <v>50866.07142857142</v>
      </c>
      <c r="D32" s="8">
        <f>B15*5%</f>
        <v>474750</v>
      </c>
    </row>
    <row r="33" spans="1:5">
      <c r="A33" s="46"/>
      <c r="B33" s="48"/>
      <c r="C33" s="26">
        <f>B38</f>
        <v>300522.93714285712</v>
      </c>
      <c r="D33" s="8">
        <f>B38</f>
        <v>300522.93714285712</v>
      </c>
      <c r="E33" s="24" t="s">
        <v>6</v>
      </c>
    </row>
    <row r="34" spans="1:5">
      <c r="A34" s="47" t="s">
        <v>94</v>
      </c>
      <c r="B34" s="54">
        <f>D34/1.12</f>
        <v>6782142.8571428563</v>
      </c>
      <c r="C34" s="27">
        <f>B34*12%</f>
        <v>813857.14285714272</v>
      </c>
      <c r="D34" s="11">
        <f>B15*80%</f>
        <v>7596000</v>
      </c>
      <c r="E34" s="28" t="s">
        <v>34</v>
      </c>
    </row>
    <row r="35" spans="1:5">
      <c r="A35" s="12"/>
      <c r="B35" s="12"/>
      <c r="C35" s="1"/>
      <c r="D35" s="1"/>
    </row>
    <row r="36" spans="1:5">
      <c r="A36" s="1" t="s">
        <v>44</v>
      </c>
      <c r="B36" s="13">
        <f>B15/1.12*3%</f>
        <v>254330.35714285713</v>
      </c>
      <c r="C36" s="1" t="s">
        <v>45</v>
      </c>
      <c r="D36" s="1"/>
    </row>
    <row r="37" spans="1:5">
      <c r="A37" s="1" t="s">
        <v>102</v>
      </c>
      <c r="B37" s="41">
        <v>46192.58</v>
      </c>
      <c r="C37" s="1"/>
      <c r="D37" s="1"/>
    </row>
    <row r="38" spans="1:5">
      <c r="A38" s="1"/>
      <c r="B38" s="13">
        <f>SUM(B36:B37)</f>
        <v>300522.93714285712</v>
      </c>
    </row>
    <row r="39" spans="1:5">
      <c r="A39" s="1"/>
      <c r="B39" s="13"/>
    </row>
    <row r="40" spans="1:5">
      <c r="A40" s="1" t="s">
        <v>7</v>
      </c>
    </row>
    <row r="41" spans="1:5">
      <c r="A41" s="1" t="s">
        <v>57</v>
      </c>
      <c r="B41" s="14">
        <f>D34*0.04432</f>
        <v>336654.72</v>
      </c>
      <c r="C41" s="1" t="s">
        <v>60</v>
      </c>
      <c r="D41" s="14">
        <f>D34*0.0124</f>
        <v>94190.399999999994</v>
      </c>
    </row>
    <row r="42" spans="1:5">
      <c r="A42" s="1" t="s">
        <v>58</v>
      </c>
      <c r="B42" s="14">
        <f>D34*0.03054</f>
        <v>231981.84</v>
      </c>
      <c r="C42" s="1" t="s">
        <v>61</v>
      </c>
      <c r="D42" s="14">
        <f>D34*0.01168</f>
        <v>88721.279999999999</v>
      </c>
    </row>
    <row r="43" spans="1:5">
      <c r="A43" s="1" t="s">
        <v>59</v>
      </c>
      <c r="B43" s="14">
        <f>D34*0.0198</f>
        <v>150400.80000000002</v>
      </c>
      <c r="C43" s="1"/>
      <c r="D43" s="14"/>
    </row>
    <row r="44" spans="1:5">
      <c r="A44" s="73" t="s">
        <v>55</v>
      </c>
      <c r="B44" s="14"/>
      <c r="C44" s="1"/>
      <c r="D44" s="14"/>
    </row>
    <row r="45" spans="1:5">
      <c r="A45" s="73"/>
      <c r="B45" s="14"/>
      <c r="C45" s="1"/>
      <c r="D45" s="14"/>
    </row>
    <row r="46" spans="1:5">
      <c r="A46" s="15" t="s">
        <v>13</v>
      </c>
      <c r="B46" s="15"/>
      <c r="C46" s="15"/>
    </row>
    <row r="47" spans="1:5">
      <c r="A47" s="15" t="s">
        <v>8</v>
      </c>
      <c r="B47" s="15"/>
      <c r="C47" s="15"/>
    </row>
    <row r="48" spans="1:5">
      <c r="A48" s="15" t="s">
        <v>9</v>
      </c>
      <c r="B48" s="15"/>
      <c r="C48" s="15"/>
    </row>
    <row r="49" spans="1:3">
      <c r="A49" s="15" t="s">
        <v>10</v>
      </c>
      <c r="B49" s="15"/>
      <c r="C49" s="15"/>
    </row>
    <row r="50" spans="1:3">
      <c r="A50" s="15" t="s">
        <v>32</v>
      </c>
      <c r="B50" s="15"/>
      <c r="C50" s="15"/>
    </row>
    <row r="51" spans="1:3">
      <c r="A51" s="15" t="s">
        <v>33</v>
      </c>
      <c r="B51" s="15"/>
      <c r="C51" s="15"/>
    </row>
    <row r="53" spans="1:3">
      <c r="A53" s="16" t="s">
        <v>11</v>
      </c>
    </row>
    <row r="54" spans="1:3">
      <c r="A54" s="17"/>
    </row>
    <row r="55" spans="1:3">
      <c r="A55" s="17"/>
    </row>
    <row r="56" spans="1:3">
      <c r="A56" s="18"/>
      <c r="C56" s="29"/>
    </row>
    <row r="57" spans="1:3">
      <c r="A57" s="30" t="s">
        <v>24</v>
      </c>
      <c r="C57" s="19" t="s">
        <v>24</v>
      </c>
    </row>
    <row r="58" spans="1:3">
      <c r="A58" s="22"/>
    </row>
    <row r="59" spans="1:3">
      <c r="A59" s="21"/>
    </row>
    <row r="60" spans="1:3">
      <c r="A60" s="19"/>
    </row>
    <row r="62" spans="1:3">
      <c r="A62" s="29"/>
    </row>
    <row r="63" spans="1:3">
      <c r="A63" s="32" t="s">
        <v>25</v>
      </c>
    </row>
    <row r="64" spans="1:3">
      <c r="A64" s="31" t="s">
        <v>26</v>
      </c>
    </row>
  </sheetData>
  <protectedRanges>
    <protectedRange sqref="A64" name="Range8_1"/>
    <protectedRange sqref="A62" name="Range7_1"/>
    <protectedRange sqref="C56" name="Range6_1"/>
    <protectedRange sqref="A56" name="Range5_1"/>
    <protectedRange sqref="E6" name="Range2_1"/>
    <protectedRange sqref="A6" name="Range1_1"/>
  </protectedRanges>
  <mergeCells count="2">
    <mergeCell ref="A8:B8"/>
    <mergeCell ref="A18:D18"/>
  </mergeCells>
  <pageMargins left="0.7" right="0.7" top="0.75" bottom="0.75" header="0.3" footer="0.3"/>
  <pageSetup scale="85" orientation="portrait" horizontalDpi="0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6:E67"/>
  <sheetViews>
    <sheetView workbookViewId="0">
      <selection activeCell="A20" sqref="A20:A37"/>
    </sheetView>
  </sheetViews>
  <sheetFormatPr defaultRowHeight="12.75"/>
  <cols>
    <col min="1" max="1" width="28.140625" customWidth="1"/>
    <col min="2" max="2" width="17.42578125" customWidth="1"/>
    <col min="3" max="3" width="22.85546875" customWidth="1"/>
    <col min="4" max="4" width="17" customWidth="1"/>
    <col min="6" max="6" width="10.85546875" customWidth="1"/>
  </cols>
  <sheetData>
    <row r="6" spans="1:4">
      <c r="A6" s="1" t="s">
        <v>17</v>
      </c>
      <c r="B6" s="1"/>
      <c r="C6" s="1"/>
      <c r="D6" s="1" t="s">
        <v>20</v>
      </c>
    </row>
    <row r="7" spans="1:4">
      <c r="A7" s="1"/>
      <c r="B7" s="1"/>
      <c r="C7" s="1"/>
      <c r="D7" s="1"/>
    </row>
    <row r="8" spans="1:4">
      <c r="A8" s="84" t="s">
        <v>95</v>
      </c>
      <c r="B8" s="85"/>
      <c r="C8" s="1"/>
      <c r="D8" s="1"/>
    </row>
    <row r="9" spans="1:4">
      <c r="A9" s="2" t="s">
        <v>0</v>
      </c>
      <c r="B9" s="3" t="str">
        <f>Cash30!B9</f>
        <v>Unit 1</v>
      </c>
      <c r="C9" s="1"/>
      <c r="D9" s="1"/>
    </row>
    <row r="10" spans="1:4">
      <c r="A10" s="2" t="s">
        <v>12</v>
      </c>
      <c r="B10" s="36" t="str">
        <f>VLOOKUP(B9,Price!A:D,4,FALSE)</f>
        <v xml:space="preserve">Townhouse </v>
      </c>
      <c r="C10" s="1"/>
      <c r="D10" s="1"/>
    </row>
    <row r="11" spans="1:4">
      <c r="A11" s="2" t="s">
        <v>19</v>
      </c>
      <c r="B11" s="36">
        <f>VLOOKUP(B9,Price!A:E,5,FALSE)</f>
        <v>52.28</v>
      </c>
      <c r="C11" s="1"/>
      <c r="D11" s="1"/>
    </row>
    <row r="12" spans="1:4">
      <c r="A12" s="2" t="s">
        <v>67</v>
      </c>
      <c r="B12" s="3">
        <f>VLOOKUP(B9,Price!A:F,6,FALSE)</f>
        <v>164.57</v>
      </c>
      <c r="C12" s="1"/>
      <c r="D12" s="1"/>
    </row>
    <row r="13" spans="1:4">
      <c r="A13" s="2" t="s">
        <v>68</v>
      </c>
      <c r="B13" s="3">
        <f>VLOOKUP(B9,Price!A:G,7,FALSE)</f>
        <v>5.51</v>
      </c>
      <c r="C13" s="1"/>
      <c r="D13" s="1"/>
    </row>
    <row r="14" spans="1:4">
      <c r="A14" s="2" t="s">
        <v>69</v>
      </c>
      <c r="B14" s="3">
        <f>VLOOKUP(B9,Price!A:H,8,FALSE)</f>
        <v>170.07999999999998</v>
      </c>
      <c r="C14" s="13"/>
      <c r="D14" s="1"/>
    </row>
    <row r="15" spans="1:4">
      <c r="A15" s="2" t="s">
        <v>43</v>
      </c>
      <c r="B15" s="45">
        <f>VLOOKUP(B9,Price!A:J,10,FALSE)</f>
        <v>9495000</v>
      </c>
      <c r="C15" s="1"/>
      <c r="D15" s="1"/>
    </row>
    <row r="16" spans="1:4">
      <c r="A16" s="2" t="s">
        <v>1</v>
      </c>
      <c r="B16" s="4">
        <f>B41</f>
        <v>300522.93714285712</v>
      </c>
      <c r="C16" s="1"/>
      <c r="D16" s="1"/>
    </row>
    <row r="17" spans="1:5">
      <c r="A17" s="1"/>
      <c r="B17" s="1"/>
      <c r="C17" s="1"/>
      <c r="D17" s="1"/>
    </row>
    <row r="18" spans="1:5">
      <c r="A18" s="89" t="s">
        <v>85</v>
      </c>
      <c r="B18" s="90"/>
      <c r="C18" s="90"/>
      <c r="D18" s="91"/>
    </row>
    <row r="19" spans="1:5">
      <c r="A19" s="5" t="s">
        <v>2</v>
      </c>
      <c r="B19" s="5" t="s">
        <v>3</v>
      </c>
      <c r="C19" s="81" t="s">
        <v>22</v>
      </c>
      <c r="D19" s="5" t="s">
        <v>23</v>
      </c>
    </row>
    <row r="20" spans="1:5">
      <c r="A20" s="46" t="s">
        <v>74</v>
      </c>
      <c r="B20" s="7">
        <v>50000</v>
      </c>
      <c r="C20" s="25"/>
      <c r="D20" s="8">
        <f>B20</f>
        <v>50000</v>
      </c>
      <c r="E20" s="1" t="s">
        <v>36</v>
      </c>
    </row>
    <row r="21" spans="1:5">
      <c r="A21" s="46" t="s">
        <v>80</v>
      </c>
      <c r="B21" s="8">
        <f>D21/1.12</f>
        <v>379241.07142857142</v>
      </c>
      <c r="C21" s="26">
        <f>B21*12%</f>
        <v>45508.928571428565</v>
      </c>
      <c r="D21" s="8">
        <f>(B15*5%-D20)</f>
        <v>424750</v>
      </c>
      <c r="E21" s="1" t="s">
        <v>4</v>
      </c>
    </row>
    <row r="22" spans="1:5">
      <c r="A22" s="46" t="s">
        <v>75</v>
      </c>
      <c r="B22" s="8">
        <f>D22/1.12</f>
        <v>65212.912087912075</v>
      </c>
      <c r="C22" s="26">
        <f>B22*12%</f>
        <v>7825.5494505494489</v>
      </c>
      <c r="D22" s="8">
        <f>B15*10%/13</f>
        <v>73038.461538461532</v>
      </c>
      <c r="E22" s="1" t="s">
        <v>5</v>
      </c>
    </row>
    <row r="23" spans="1:5">
      <c r="A23" s="46" t="s">
        <v>81</v>
      </c>
      <c r="B23" s="8">
        <f>B22</f>
        <v>65212.912087912075</v>
      </c>
      <c r="C23" s="8">
        <f>C22</f>
        <v>7825.5494505494489</v>
      </c>
      <c r="D23" s="8">
        <f>D22</f>
        <v>73038.461538461532</v>
      </c>
    </row>
    <row r="24" spans="1:5">
      <c r="A24" s="46" t="s">
        <v>86</v>
      </c>
      <c r="B24" s="8">
        <f>B23</f>
        <v>65212.912087912075</v>
      </c>
      <c r="C24" s="8">
        <f>C22</f>
        <v>7825.5494505494489</v>
      </c>
      <c r="D24" s="8">
        <f t="shared" ref="D24:D32" si="0">D23</f>
        <v>73038.461538461532</v>
      </c>
    </row>
    <row r="25" spans="1:5">
      <c r="A25" s="46" t="s">
        <v>88</v>
      </c>
      <c r="B25" s="8">
        <f>B24</f>
        <v>65212.912087912075</v>
      </c>
      <c r="C25" s="8">
        <f>C22</f>
        <v>7825.5494505494489</v>
      </c>
      <c r="D25" s="8">
        <f t="shared" si="0"/>
        <v>73038.461538461532</v>
      </c>
    </row>
    <row r="26" spans="1:5">
      <c r="A26" s="46" t="s">
        <v>87</v>
      </c>
      <c r="B26" s="8">
        <f>B25</f>
        <v>65212.912087912075</v>
      </c>
      <c r="C26" s="8">
        <f>C22</f>
        <v>7825.5494505494489</v>
      </c>
      <c r="D26" s="8">
        <f t="shared" si="0"/>
        <v>73038.461538461532</v>
      </c>
    </row>
    <row r="27" spans="1:5">
      <c r="A27" s="46" t="s">
        <v>89</v>
      </c>
      <c r="B27" s="8">
        <f t="shared" ref="B27:B32" si="1">B25</f>
        <v>65212.912087912075</v>
      </c>
      <c r="C27" s="8">
        <f t="shared" ref="C27:C32" si="2">C23</f>
        <v>7825.5494505494489</v>
      </c>
      <c r="D27" s="8">
        <f t="shared" si="0"/>
        <v>73038.461538461532</v>
      </c>
    </row>
    <row r="28" spans="1:5">
      <c r="A28" s="46" t="s">
        <v>90</v>
      </c>
      <c r="B28" s="8">
        <f t="shared" si="1"/>
        <v>65212.912087912075</v>
      </c>
      <c r="C28" s="8">
        <f t="shared" si="2"/>
        <v>7825.5494505494489</v>
      </c>
      <c r="D28" s="8">
        <f t="shared" si="0"/>
        <v>73038.461538461532</v>
      </c>
    </row>
    <row r="29" spans="1:5">
      <c r="A29" s="46" t="s">
        <v>91</v>
      </c>
      <c r="B29" s="8">
        <f t="shared" si="1"/>
        <v>65212.912087912075</v>
      </c>
      <c r="C29" s="8">
        <f t="shared" si="2"/>
        <v>7825.5494505494489</v>
      </c>
      <c r="D29" s="8">
        <f t="shared" si="0"/>
        <v>73038.461538461532</v>
      </c>
    </row>
    <row r="30" spans="1:5">
      <c r="A30" s="46" t="s">
        <v>92</v>
      </c>
      <c r="B30" s="8">
        <f t="shared" si="1"/>
        <v>65212.912087912075</v>
      </c>
      <c r="C30" s="8">
        <f t="shared" si="2"/>
        <v>7825.5494505494489</v>
      </c>
      <c r="D30" s="8">
        <f t="shared" si="0"/>
        <v>73038.461538461532</v>
      </c>
    </row>
    <row r="31" spans="1:5">
      <c r="A31" s="46" t="s">
        <v>93</v>
      </c>
      <c r="B31" s="8">
        <f t="shared" si="1"/>
        <v>65212.912087912075</v>
      </c>
      <c r="C31" s="8">
        <f t="shared" si="2"/>
        <v>7825.5494505494489</v>
      </c>
      <c r="D31" s="8">
        <f t="shared" si="0"/>
        <v>73038.461538461532</v>
      </c>
    </row>
    <row r="32" spans="1:5">
      <c r="A32" s="46" t="s">
        <v>103</v>
      </c>
      <c r="B32" s="8">
        <f t="shared" si="1"/>
        <v>65212.912087912075</v>
      </c>
      <c r="C32" s="8">
        <f t="shared" si="2"/>
        <v>7825.5494505494489</v>
      </c>
      <c r="D32" s="8">
        <f t="shared" si="0"/>
        <v>73038.461538461532</v>
      </c>
    </row>
    <row r="33" spans="1:5">
      <c r="A33" s="46" t="s">
        <v>94</v>
      </c>
      <c r="B33" s="8">
        <f t="shared" ref="B33:D34" si="3">B32</f>
        <v>65212.912087912075</v>
      </c>
      <c r="C33" s="8">
        <f t="shared" si="3"/>
        <v>7825.5494505494489</v>
      </c>
      <c r="D33" s="8">
        <f t="shared" si="3"/>
        <v>73038.461538461532</v>
      </c>
    </row>
    <row r="34" spans="1:5">
      <c r="A34" s="46" t="s">
        <v>104</v>
      </c>
      <c r="B34" s="8">
        <f t="shared" si="3"/>
        <v>65212.912087912075</v>
      </c>
      <c r="C34" s="8">
        <f t="shared" si="3"/>
        <v>7825.5494505494489</v>
      </c>
      <c r="D34" s="8">
        <f t="shared" si="3"/>
        <v>73038.461538461532</v>
      </c>
    </row>
    <row r="35" spans="1:5">
      <c r="A35" s="46" t="s">
        <v>106</v>
      </c>
      <c r="B35" s="8">
        <f>D35/1.12</f>
        <v>423883.92857142852</v>
      </c>
      <c r="C35" s="8">
        <f>B35*12%</f>
        <v>50866.07142857142</v>
      </c>
      <c r="D35" s="8">
        <f>B15*5%</f>
        <v>474750</v>
      </c>
    </row>
    <row r="36" spans="1:5">
      <c r="A36" s="46"/>
      <c r="B36" s="8"/>
      <c r="C36" s="26">
        <f>B41</f>
        <v>300522.93714285712</v>
      </c>
      <c r="D36" s="8">
        <f>B41</f>
        <v>300522.93714285712</v>
      </c>
      <c r="E36" s="24" t="s">
        <v>6</v>
      </c>
    </row>
    <row r="37" spans="1:5">
      <c r="A37" s="47" t="s">
        <v>107</v>
      </c>
      <c r="B37" s="11">
        <f>D37/1.12</f>
        <v>6782142.8571428563</v>
      </c>
      <c r="C37" s="27">
        <f>B37*12%</f>
        <v>813857.14285714272</v>
      </c>
      <c r="D37" s="11">
        <f>B15*80%</f>
        <v>7596000</v>
      </c>
      <c r="E37" s="28" t="s">
        <v>34</v>
      </c>
    </row>
    <row r="38" spans="1:5">
      <c r="A38" s="12"/>
      <c r="B38" s="12"/>
      <c r="C38" s="1"/>
      <c r="D38" s="1"/>
    </row>
    <row r="39" spans="1:5">
      <c r="A39" s="1" t="s">
        <v>44</v>
      </c>
      <c r="B39" s="13">
        <f>B15/1.12*3%</f>
        <v>254330.35714285713</v>
      </c>
      <c r="C39" s="1" t="s">
        <v>45</v>
      </c>
      <c r="D39" s="1"/>
    </row>
    <row r="40" spans="1:5">
      <c r="A40" s="1" t="s">
        <v>102</v>
      </c>
      <c r="B40" s="41">
        <v>46192.58</v>
      </c>
      <c r="C40" s="1"/>
      <c r="D40" s="1"/>
    </row>
    <row r="41" spans="1:5">
      <c r="A41" s="1"/>
      <c r="B41" s="13">
        <f>SUM(B39:B40)</f>
        <v>300522.93714285712</v>
      </c>
    </row>
    <row r="42" spans="1:5">
      <c r="A42" s="1"/>
      <c r="B42" s="13"/>
    </row>
    <row r="43" spans="1:5">
      <c r="A43" s="1" t="s">
        <v>7</v>
      </c>
    </row>
    <row r="44" spans="1:5">
      <c r="A44" s="1" t="s">
        <v>57</v>
      </c>
      <c r="B44" s="14">
        <f>D37*0.04432</f>
        <v>336654.72</v>
      </c>
      <c r="C44" s="1" t="s">
        <v>60</v>
      </c>
      <c r="D44" s="14">
        <f>D37*0.0124</f>
        <v>94190.399999999994</v>
      </c>
    </row>
    <row r="45" spans="1:5">
      <c r="A45" s="1" t="s">
        <v>58</v>
      </c>
      <c r="B45" s="14">
        <f>D37*0.03054</f>
        <v>231981.84</v>
      </c>
      <c r="C45" s="1" t="s">
        <v>61</v>
      </c>
      <c r="D45" s="14">
        <f>D37*0.01168</f>
        <v>88721.279999999999</v>
      </c>
    </row>
    <row r="46" spans="1:5">
      <c r="A46" s="1" t="s">
        <v>59</v>
      </c>
      <c r="B46" s="14">
        <f>D37*0.0198</f>
        <v>150400.80000000002</v>
      </c>
      <c r="C46" s="1"/>
      <c r="D46" s="14"/>
    </row>
    <row r="47" spans="1:5" ht="14.25">
      <c r="A47" s="74" t="s">
        <v>55</v>
      </c>
      <c r="B47" s="75"/>
      <c r="C47" s="72"/>
      <c r="D47" s="75"/>
    </row>
    <row r="49" spans="1:3">
      <c r="A49" s="15" t="s">
        <v>13</v>
      </c>
      <c r="B49" s="15"/>
      <c r="C49" s="15"/>
    </row>
    <row r="50" spans="1:3">
      <c r="A50" s="15" t="s">
        <v>8</v>
      </c>
      <c r="B50" s="15"/>
      <c r="C50" s="15"/>
    </row>
    <row r="51" spans="1:3">
      <c r="A51" s="15" t="s">
        <v>9</v>
      </c>
      <c r="B51" s="15"/>
      <c r="C51" s="15"/>
    </row>
    <row r="52" spans="1:3">
      <c r="A52" s="15" t="s">
        <v>10</v>
      </c>
      <c r="B52" s="15"/>
      <c r="C52" s="15"/>
    </row>
    <row r="53" spans="1:3">
      <c r="A53" s="15" t="s">
        <v>32</v>
      </c>
      <c r="B53" s="15"/>
      <c r="C53" s="15"/>
    </row>
    <row r="54" spans="1:3">
      <c r="A54" s="15" t="s">
        <v>33</v>
      </c>
      <c r="B54" s="15"/>
      <c r="C54" s="15"/>
    </row>
    <row r="56" spans="1:3">
      <c r="A56" s="16" t="s">
        <v>11</v>
      </c>
    </row>
    <row r="57" spans="1:3">
      <c r="A57" s="17"/>
    </row>
    <row r="58" spans="1:3">
      <c r="A58" s="17"/>
    </row>
    <row r="59" spans="1:3">
      <c r="A59" s="18"/>
      <c r="C59" s="29"/>
    </row>
    <row r="60" spans="1:3">
      <c r="A60" s="30" t="s">
        <v>24</v>
      </c>
      <c r="C60" s="19" t="s">
        <v>24</v>
      </c>
    </row>
    <row r="61" spans="1:3">
      <c r="A61" s="22"/>
    </row>
    <row r="62" spans="1:3">
      <c r="A62" s="21"/>
    </row>
    <row r="63" spans="1:3">
      <c r="A63" s="19"/>
    </row>
    <row r="65" spans="1:1">
      <c r="A65" s="29"/>
    </row>
    <row r="66" spans="1:1">
      <c r="A66" s="32" t="s">
        <v>25</v>
      </c>
    </row>
    <row r="67" spans="1:1">
      <c r="A67" s="31" t="s">
        <v>26</v>
      </c>
    </row>
  </sheetData>
  <protectedRanges>
    <protectedRange sqref="A67" name="Range8_1_2"/>
    <protectedRange sqref="A65" name="Range7_1_2"/>
    <protectedRange sqref="C59" name="Range6_1_2"/>
    <protectedRange sqref="A59" name="Range5_1_2"/>
    <protectedRange sqref="E6" name="Range2_1_2"/>
    <protectedRange sqref="A6" name="Range1_1_2"/>
    <protectedRange sqref="A37" name="Range4_4_2_1_2_1_1"/>
  </protectedRanges>
  <mergeCells count="2">
    <mergeCell ref="A8:B8"/>
    <mergeCell ref="A18:D18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6:E70"/>
  <sheetViews>
    <sheetView topLeftCell="A15" workbookViewId="0">
      <selection activeCell="A20" sqref="A20:A40"/>
    </sheetView>
  </sheetViews>
  <sheetFormatPr defaultRowHeight="12.75"/>
  <cols>
    <col min="1" max="1" width="28.7109375" customWidth="1"/>
    <col min="2" max="2" width="17.42578125" customWidth="1"/>
    <col min="3" max="3" width="22.85546875" customWidth="1"/>
    <col min="4" max="4" width="17" customWidth="1"/>
    <col min="5" max="5" width="20.5703125" customWidth="1"/>
  </cols>
  <sheetData>
    <row r="6" spans="1:4">
      <c r="A6" s="1" t="s">
        <v>17</v>
      </c>
      <c r="B6" s="1"/>
      <c r="C6" s="1"/>
      <c r="D6" s="1" t="s">
        <v>20</v>
      </c>
    </row>
    <row r="7" spans="1:4">
      <c r="A7" s="1"/>
      <c r="B7" s="1"/>
      <c r="C7" s="1"/>
      <c r="D7" s="1"/>
    </row>
    <row r="8" spans="1:4">
      <c r="A8" s="92" t="s">
        <v>95</v>
      </c>
      <c r="B8" s="93"/>
      <c r="C8" s="1"/>
      <c r="D8" s="1"/>
    </row>
    <row r="9" spans="1:4">
      <c r="A9" s="2" t="s">
        <v>0</v>
      </c>
      <c r="B9" s="3" t="str">
        <f>Cash30!B9</f>
        <v>Unit 1</v>
      </c>
      <c r="C9" s="1"/>
      <c r="D9" s="1"/>
    </row>
    <row r="10" spans="1:4">
      <c r="A10" s="2" t="s">
        <v>12</v>
      </c>
      <c r="B10" s="36" t="str">
        <f>VLOOKUP(B9,Price!A:D,4,FALSE)</f>
        <v xml:space="preserve">Townhouse </v>
      </c>
      <c r="C10" s="1"/>
      <c r="D10" s="1"/>
    </row>
    <row r="11" spans="1:4">
      <c r="A11" s="2" t="s">
        <v>19</v>
      </c>
      <c r="B11" s="36">
        <f>VLOOKUP(B9,Price!A:E,5,FALSE)</f>
        <v>52.28</v>
      </c>
      <c r="C11" s="1"/>
      <c r="D11" s="1"/>
    </row>
    <row r="12" spans="1:4">
      <c r="A12" s="2" t="s">
        <v>67</v>
      </c>
      <c r="B12" s="3">
        <f>VLOOKUP(B9,Price!A:F,6,FALSE)</f>
        <v>164.57</v>
      </c>
      <c r="C12" s="1"/>
      <c r="D12" s="1"/>
    </row>
    <row r="13" spans="1:4">
      <c r="A13" s="2" t="s">
        <v>68</v>
      </c>
      <c r="B13" s="3">
        <f>VLOOKUP(B9,Price!A:G,7,FALSE)</f>
        <v>5.51</v>
      </c>
      <c r="C13" s="1"/>
      <c r="D13" s="1"/>
    </row>
    <row r="14" spans="1:4">
      <c r="A14" s="2" t="s">
        <v>69</v>
      </c>
      <c r="B14" s="3">
        <f>VLOOKUP(B9,Price!A:H,8,FALSE)</f>
        <v>170.07999999999998</v>
      </c>
      <c r="C14" s="1"/>
      <c r="D14" s="1"/>
    </row>
    <row r="15" spans="1:4">
      <c r="A15" s="2" t="s">
        <v>43</v>
      </c>
      <c r="B15" s="45">
        <f>VLOOKUP(B9,Price!A:J,10,FALSE)</f>
        <v>9495000</v>
      </c>
      <c r="C15" s="1"/>
      <c r="D15" s="1"/>
    </row>
    <row r="16" spans="1:4">
      <c r="A16" s="2" t="s">
        <v>1</v>
      </c>
      <c r="B16" s="4">
        <f>B44</f>
        <v>300522.93714285712</v>
      </c>
      <c r="C16" s="1"/>
      <c r="D16" s="1"/>
    </row>
    <row r="17" spans="1:5">
      <c r="A17" s="1"/>
      <c r="B17" s="1"/>
      <c r="C17" s="1"/>
      <c r="D17" s="1"/>
    </row>
    <row r="18" spans="1:5">
      <c r="A18" s="89" t="s">
        <v>84</v>
      </c>
      <c r="B18" s="90"/>
      <c r="C18" s="90"/>
      <c r="D18" s="91"/>
    </row>
    <row r="19" spans="1:5">
      <c r="A19" s="5" t="s">
        <v>2</v>
      </c>
      <c r="B19" s="5" t="s">
        <v>3</v>
      </c>
      <c r="C19" s="81" t="s">
        <v>22</v>
      </c>
      <c r="D19" s="5" t="s">
        <v>23</v>
      </c>
    </row>
    <row r="20" spans="1:5">
      <c r="A20" s="46" t="s">
        <v>50</v>
      </c>
      <c r="B20" s="53">
        <v>50000</v>
      </c>
      <c r="C20" s="25"/>
      <c r="D20" s="8">
        <f>B20</f>
        <v>50000</v>
      </c>
      <c r="E20" s="1" t="s">
        <v>36</v>
      </c>
    </row>
    <row r="21" spans="1:5">
      <c r="A21" s="46" t="s">
        <v>70</v>
      </c>
      <c r="B21" s="48">
        <f>D21/1.12</f>
        <v>379241.07142857142</v>
      </c>
      <c r="C21" s="26">
        <f>B21*12%</f>
        <v>45508.928571428565</v>
      </c>
      <c r="D21" s="8">
        <f>B15*5%-B20</f>
        <v>424750</v>
      </c>
      <c r="E21" s="1" t="s">
        <v>4</v>
      </c>
    </row>
    <row r="22" spans="1:5">
      <c r="A22" s="46" t="s">
        <v>54</v>
      </c>
      <c r="B22" s="48">
        <f>D22/1.12</f>
        <v>52985.491071428565</v>
      </c>
      <c r="C22" s="26">
        <f>B22*12%</f>
        <v>6358.2589285714275</v>
      </c>
      <c r="D22" s="8">
        <f>(B15*10%)/16</f>
        <v>59343.75</v>
      </c>
      <c r="E22" s="1" t="s">
        <v>5</v>
      </c>
    </row>
    <row r="23" spans="1:5">
      <c r="A23" s="46" t="s">
        <v>71</v>
      </c>
      <c r="B23" s="48">
        <f>B22</f>
        <v>52985.491071428565</v>
      </c>
      <c r="C23" s="8">
        <f>C22</f>
        <v>6358.2589285714275</v>
      </c>
      <c r="D23" s="8">
        <f>D22</f>
        <v>59343.75</v>
      </c>
    </row>
    <row r="24" spans="1:5">
      <c r="A24" s="46" t="s">
        <v>73</v>
      </c>
      <c r="B24" s="48">
        <f>B23</f>
        <v>52985.491071428565</v>
      </c>
      <c r="C24" s="8">
        <f>C22</f>
        <v>6358.2589285714275</v>
      </c>
      <c r="D24" s="8">
        <f t="shared" ref="D24:D31" si="0">D23</f>
        <v>59343.75</v>
      </c>
    </row>
    <row r="25" spans="1:5">
      <c r="A25" s="46" t="s">
        <v>74</v>
      </c>
      <c r="B25" s="48">
        <f>B24</f>
        <v>52985.491071428565</v>
      </c>
      <c r="C25" s="8">
        <f>C22</f>
        <v>6358.2589285714275</v>
      </c>
      <c r="D25" s="8">
        <f t="shared" si="0"/>
        <v>59343.75</v>
      </c>
    </row>
    <row r="26" spans="1:5">
      <c r="A26" s="46" t="s">
        <v>80</v>
      </c>
      <c r="B26" s="48">
        <f>B25</f>
        <v>52985.491071428565</v>
      </c>
      <c r="C26" s="8">
        <f>C22</f>
        <v>6358.2589285714275</v>
      </c>
      <c r="D26" s="8">
        <f t="shared" si="0"/>
        <v>59343.75</v>
      </c>
    </row>
    <row r="27" spans="1:5">
      <c r="A27" s="46" t="s">
        <v>75</v>
      </c>
      <c r="B27" s="48">
        <f>B25</f>
        <v>52985.491071428565</v>
      </c>
      <c r="C27" s="8">
        <f t="shared" ref="C27:C31" si="1">C23</f>
        <v>6358.2589285714275</v>
      </c>
      <c r="D27" s="8">
        <f t="shared" si="0"/>
        <v>59343.75</v>
      </c>
    </row>
    <row r="28" spans="1:5">
      <c r="A28" s="46" t="s">
        <v>81</v>
      </c>
      <c r="B28" s="48">
        <f t="shared" ref="B28:B31" si="2">B26</f>
        <v>52985.491071428565</v>
      </c>
      <c r="C28" s="8">
        <f t="shared" si="1"/>
        <v>6358.2589285714275</v>
      </c>
      <c r="D28" s="8">
        <f t="shared" si="0"/>
        <v>59343.75</v>
      </c>
    </row>
    <row r="29" spans="1:5">
      <c r="A29" s="46" t="s">
        <v>86</v>
      </c>
      <c r="B29" s="48">
        <f t="shared" si="2"/>
        <v>52985.491071428565</v>
      </c>
      <c r="C29" s="8">
        <f t="shared" si="1"/>
        <v>6358.2589285714275</v>
      </c>
      <c r="D29" s="8">
        <f t="shared" si="0"/>
        <v>59343.75</v>
      </c>
    </row>
    <row r="30" spans="1:5">
      <c r="A30" s="46" t="s">
        <v>88</v>
      </c>
      <c r="B30" s="48">
        <f t="shared" si="2"/>
        <v>52985.491071428565</v>
      </c>
      <c r="C30" s="8">
        <f t="shared" si="1"/>
        <v>6358.2589285714275</v>
      </c>
      <c r="D30" s="8">
        <f t="shared" si="0"/>
        <v>59343.75</v>
      </c>
    </row>
    <row r="31" spans="1:5">
      <c r="A31" s="46" t="s">
        <v>87</v>
      </c>
      <c r="B31" s="48">
        <f t="shared" si="2"/>
        <v>52985.491071428565</v>
      </c>
      <c r="C31" s="8">
        <f t="shared" si="1"/>
        <v>6358.2589285714275</v>
      </c>
      <c r="D31" s="8">
        <f t="shared" si="0"/>
        <v>59343.75</v>
      </c>
    </row>
    <row r="32" spans="1:5">
      <c r="A32" s="46" t="s">
        <v>89</v>
      </c>
      <c r="B32" s="48">
        <f t="shared" ref="B32:B37" si="3">B31</f>
        <v>52985.491071428565</v>
      </c>
      <c r="C32" s="8">
        <f>B32*12%</f>
        <v>6358.2589285714275</v>
      </c>
      <c r="D32" s="8">
        <f t="shared" ref="D32:D37" si="4">D31</f>
        <v>59343.75</v>
      </c>
    </row>
    <row r="33" spans="1:5">
      <c r="A33" s="46" t="s">
        <v>90</v>
      </c>
      <c r="B33" s="48">
        <f t="shared" si="3"/>
        <v>52985.491071428565</v>
      </c>
      <c r="C33" s="8">
        <f>B33*12%</f>
        <v>6358.2589285714275</v>
      </c>
      <c r="D33" s="8">
        <f t="shared" si="4"/>
        <v>59343.75</v>
      </c>
    </row>
    <row r="34" spans="1:5">
      <c r="A34" s="46" t="s">
        <v>91</v>
      </c>
      <c r="B34" s="48">
        <f t="shared" si="3"/>
        <v>52985.491071428565</v>
      </c>
      <c r="C34" s="8">
        <f>C33</f>
        <v>6358.2589285714275</v>
      </c>
      <c r="D34" s="8">
        <f t="shared" si="4"/>
        <v>59343.75</v>
      </c>
    </row>
    <row r="35" spans="1:5">
      <c r="A35" s="46" t="s">
        <v>92</v>
      </c>
      <c r="B35" s="48">
        <f t="shared" si="3"/>
        <v>52985.491071428565</v>
      </c>
      <c r="C35" s="8">
        <f>C34</f>
        <v>6358.2589285714275</v>
      </c>
      <c r="D35" s="8">
        <f t="shared" si="4"/>
        <v>59343.75</v>
      </c>
    </row>
    <row r="36" spans="1:5">
      <c r="A36" s="46" t="s">
        <v>93</v>
      </c>
      <c r="B36" s="48">
        <f t="shared" si="3"/>
        <v>52985.491071428565</v>
      </c>
      <c r="C36" s="8">
        <f>C35</f>
        <v>6358.2589285714275</v>
      </c>
      <c r="D36" s="8">
        <f t="shared" si="4"/>
        <v>59343.75</v>
      </c>
    </row>
    <row r="37" spans="1:5">
      <c r="A37" s="46" t="s">
        <v>103</v>
      </c>
      <c r="B37" s="48">
        <f t="shared" si="3"/>
        <v>52985.491071428565</v>
      </c>
      <c r="C37" s="8">
        <f>C36</f>
        <v>6358.2589285714275</v>
      </c>
      <c r="D37" s="8">
        <f t="shared" si="4"/>
        <v>59343.75</v>
      </c>
    </row>
    <row r="38" spans="1:5">
      <c r="A38" s="46" t="s">
        <v>94</v>
      </c>
      <c r="B38" s="48">
        <f>D38/1.12</f>
        <v>423883.92857142852</v>
      </c>
      <c r="C38" s="8">
        <f>B38*12%</f>
        <v>50866.07142857142</v>
      </c>
      <c r="D38" s="8">
        <f>B15*5%</f>
        <v>474750</v>
      </c>
    </row>
    <row r="39" spans="1:5">
      <c r="A39" s="46"/>
      <c r="B39" s="48"/>
      <c r="C39" s="26">
        <f>B44</f>
        <v>300522.93714285712</v>
      </c>
      <c r="D39" s="8">
        <f>B44</f>
        <v>300522.93714285712</v>
      </c>
      <c r="E39" s="24" t="s">
        <v>6</v>
      </c>
    </row>
    <row r="40" spans="1:5">
      <c r="A40" s="47" t="s">
        <v>104</v>
      </c>
      <c r="B40" s="54">
        <f>D40/1.12</f>
        <v>6782142.8571428563</v>
      </c>
      <c r="C40" s="27">
        <f>B40*12%</f>
        <v>813857.14285714272</v>
      </c>
      <c r="D40" s="11">
        <f>B15*80%</f>
        <v>7596000</v>
      </c>
      <c r="E40" s="28" t="s">
        <v>34</v>
      </c>
    </row>
    <row r="41" spans="1:5">
      <c r="A41" s="12"/>
      <c r="B41" s="12"/>
      <c r="C41" s="1"/>
      <c r="D41" s="1"/>
    </row>
    <row r="42" spans="1:5">
      <c r="A42" s="1" t="s">
        <v>44</v>
      </c>
      <c r="B42" s="13">
        <f>B15/1.12*3%</f>
        <v>254330.35714285713</v>
      </c>
      <c r="C42" s="1" t="s">
        <v>45</v>
      </c>
      <c r="D42" s="1"/>
    </row>
    <row r="43" spans="1:5">
      <c r="A43" s="1" t="s">
        <v>102</v>
      </c>
      <c r="B43" s="41">
        <v>46192.58</v>
      </c>
      <c r="C43" s="1"/>
      <c r="D43" s="1"/>
    </row>
    <row r="44" spans="1:5">
      <c r="A44" s="1"/>
      <c r="B44" s="13">
        <f>SUM(B42:B43)</f>
        <v>300522.93714285712</v>
      </c>
    </row>
    <row r="45" spans="1:5">
      <c r="A45" s="1"/>
      <c r="B45" s="13"/>
    </row>
    <row r="46" spans="1:5">
      <c r="A46" s="1" t="s">
        <v>7</v>
      </c>
    </row>
    <row r="47" spans="1:5">
      <c r="A47" s="1" t="s">
        <v>57</v>
      </c>
      <c r="B47" s="14">
        <f>D40*0.04432</f>
        <v>336654.72</v>
      </c>
      <c r="C47" s="1" t="s">
        <v>60</v>
      </c>
      <c r="D47" s="14">
        <f>D40*0.0124</f>
        <v>94190.399999999994</v>
      </c>
    </row>
    <row r="48" spans="1:5">
      <c r="A48" s="1" t="s">
        <v>58</v>
      </c>
      <c r="B48" s="14">
        <f>D40*0.03054</f>
        <v>231981.84</v>
      </c>
      <c r="C48" s="1" t="s">
        <v>61</v>
      </c>
      <c r="D48" s="14">
        <f>D40*0.01168</f>
        <v>88721.279999999999</v>
      </c>
    </row>
    <row r="49" spans="1:4">
      <c r="A49" s="1" t="s">
        <v>59</v>
      </c>
      <c r="B49" s="14">
        <f>D40*0.0198</f>
        <v>150400.80000000002</v>
      </c>
      <c r="C49" s="1"/>
      <c r="D49" s="14"/>
    </row>
    <row r="50" spans="1:4">
      <c r="A50" s="73" t="s">
        <v>55</v>
      </c>
      <c r="B50" s="14"/>
      <c r="C50" s="1"/>
      <c r="D50" s="14"/>
    </row>
    <row r="51" spans="1:4">
      <c r="A51" s="73"/>
      <c r="B51" s="14"/>
      <c r="C51" s="1"/>
      <c r="D51" s="14"/>
    </row>
    <row r="52" spans="1:4">
      <c r="A52" s="15" t="s">
        <v>13</v>
      </c>
      <c r="B52" s="15"/>
      <c r="C52" s="15"/>
    </row>
    <row r="53" spans="1:4">
      <c r="A53" s="15" t="s">
        <v>8</v>
      </c>
      <c r="B53" s="15"/>
      <c r="C53" s="15"/>
    </row>
    <row r="54" spans="1:4">
      <c r="A54" s="15" t="s">
        <v>9</v>
      </c>
      <c r="B54" s="15"/>
      <c r="C54" s="15"/>
    </row>
    <row r="55" spans="1:4">
      <c r="A55" s="15" t="s">
        <v>10</v>
      </c>
      <c r="B55" s="15"/>
      <c r="C55" s="15"/>
    </row>
    <row r="56" spans="1:4">
      <c r="A56" s="15" t="s">
        <v>32</v>
      </c>
      <c r="B56" s="15"/>
      <c r="C56" s="15"/>
    </row>
    <row r="57" spans="1:4">
      <c r="A57" s="15" t="s">
        <v>33</v>
      </c>
      <c r="B57" s="15"/>
      <c r="C57" s="15"/>
    </row>
    <row r="59" spans="1:4">
      <c r="A59" s="16" t="s">
        <v>11</v>
      </c>
    </row>
    <row r="60" spans="1:4">
      <c r="A60" s="17"/>
    </row>
    <row r="61" spans="1:4">
      <c r="A61" s="17"/>
    </row>
    <row r="62" spans="1:4">
      <c r="A62" s="18"/>
      <c r="C62" s="29"/>
    </row>
    <row r="63" spans="1:4">
      <c r="A63" s="30" t="s">
        <v>24</v>
      </c>
      <c r="C63" s="19" t="s">
        <v>24</v>
      </c>
    </row>
    <row r="64" spans="1:4">
      <c r="A64" s="22"/>
    </row>
    <row r="65" spans="1:1">
      <c r="A65" s="21"/>
    </row>
    <row r="66" spans="1:1">
      <c r="A66" s="19"/>
    </row>
    <row r="68" spans="1:1">
      <c r="A68" s="29"/>
    </row>
    <row r="69" spans="1:1">
      <c r="A69" s="32" t="s">
        <v>25</v>
      </c>
    </row>
    <row r="70" spans="1:1">
      <c r="A70" s="31" t="s">
        <v>26</v>
      </c>
    </row>
  </sheetData>
  <sheetProtection sheet="1" objects="1" scenarios="1"/>
  <protectedRanges>
    <protectedRange sqref="A70" name="Range8_1_1"/>
    <protectedRange sqref="A68" name="Range7_1_1"/>
    <protectedRange sqref="C62" name="Range6_1_1"/>
    <protectedRange sqref="A62" name="Range5_1_1"/>
    <protectedRange sqref="E6" name="Range2_1_1"/>
    <protectedRange sqref="A6" name="Range1_1_1"/>
    <protectedRange sqref="A40" name="Range4_4_2_1_1_2_1"/>
  </protectedRanges>
  <mergeCells count="2">
    <mergeCell ref="A8:B8"/>
    <mergeCell ref="A18:D1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6:E50"/>
  <sheetViews>
    <sheetView topLeftCell="A5" zoomScale="87" zoomScaleNormal="87" workbookViewId="0">
      <selection activeCell="H23" sqref="H23"/>
    </sheetView>
  </sheetViews>
  <sheetFormatPr defaultRowHeight="12.75"/>
  <cols>
    <col min="1" max="1" width="29.42578125" customWidth="1"/>
    <col min="2" max="2" width="17.42578125" customWidth="1"/>
    <col min="3" max="3" width="22.85546875" customWidth="1"/>
    <col min="4" max="4" width="17" customWidth="1"/>
    <col min="5" max="5" width="20.85546875" customWidth="1"/>
  </cols>
  <sheetData>
    <row r="6" spans="1:4">
      <c r="A6" s="1" t="s">
        <v>17</v>
      </c>
      <c r="B6" s="1"/>
      <c r="C6" s="1"/>
      <c r="D6" s="1" t="s">
        <v>20</v>
      </c>
    </row>
    <row r="7" spans="1:4">
      <c r="A7" s="1"/>
      <c r="B7" s="1"/>
      <c r="C7" s="1"/>
      <c r="D7" s="1"/>
    </row>
    <row r="8" spans="1:4">
      <c r="A8" s="84" t="s">
        <v>95</v>
      </c>
      <c r="B8" s="85"/>
      <c r="C8" s="1"/>
      <c r="D8" s="1"/>
    </row>
    <row r="9" spans="1:4">
      <c r="A9" s="2" t="s">
        <v>0</v>
      </c>
      <c r="B9" s="3" t="s">
        <v>96</v>
      </c>
      <c r="C9" s="1"/>
      <c r="D9" s="1"/>
    </row>
    <row r="10" spans="1:4">
      <c r="A10" s="2" t="s">
        <v>12</v>
      </c>
      <c r="B10" s="36" t="str">
        <f>VLOOKUP(B9,Price!A:D,4,FALSE)</f>
        <v xml:space="preserve">Townhouse </v>
      </c>
      <c r="C10" s="1"/>
      <c r="D10" s="1"/>
    </row>
    <row r="11" spans="1:4">
      <c r="A11" s="2" t="s">
        <v>19</v>
      </c>
      <c r="B11" s="36">
        <f>VLOOKUP(B9,Price!A:F,5,FALSE)</f>
        <v>52.28</v>
      </c>
      <c r="C11" s="1"/>
      <c r="D11" s="1"/>
    </row>
    <row r="12" spans="1:4">
      <c r="A12" s="2" t="s">
        <v>67</v>
      </c>
      <c r="B12" s="3">
        <f>VLOOKUP(B9,Price!A:F,6,FALSE)</f>
        <v>164.57</v>
      </c>
      <c r="C12" s="1"/>
      <c r="D12" s="1"/>
    </row>
    <row r="13" spans="1:4">
      <c r="A13" s="2" t="s">
        <v>68</v>
      </c>
      <c r="B13" s="3">
        <f>VLOOKUP(B9,Price!A:G,7,FALSE)</f>
        <v>5.51</v>
      </c>
      <c r="C13" s="1"/>
      <c r="D13" s="1"/>
    </row>
    <row r="14" spans="1:4">
      <c r="A14" s="2" t="s">
        <v>69</v>
      </c>
      <c r="B14" s="3">
        <f>VLOOKUP(B9,Price!A:H,8,FALSE)</f>
        <v>170.07999999999998</v>
      </c>
      <c r="C14" s="1"/>
      <c r="D14" s="1"/>
    </row>
    <row r="15" spans="1:4">
      <c r="A15" s="2" t="s">
        <v>43</v>
      </c>
      <c r="B15" s="45">
        <f>VLOOKUP(B9,Price!A:J,10,FALSE)</f>
        <v>9495000</v>
      </c>
      <c r="C15" s="1"/>
      <c r="D15" s="1"/>
    </row>
    <row r="16" spans="1:4">
      <c r="A16" s="2" t="s">
        <v>18</v>
      </c>
      <c r="B16" s="45">
        <f>B15*5%</f>
        <v>474750</v>
      </c>
      <c r="C16" s="1"/>
      <c r="D16" s="1"/>
    </row>
    <row r="17" spans="1:5">
      <c r="A17" s="50" t="s">
        <v>21</v>
      </c>
      <c r="B17" s="51">
        <f>B15-B16</f>
        <v>9020250</v>
      </c>
      <c r="C17" s="1"/>
      <c r="D17" s="1"/>
    </row>
    <row r="18" spans="1:5">
      <c r="A18" s="2" t="s">
        <v>1</v>
      </c>
      <c r="B18" s="4">
        <f>B29</f>
        <v>287806.41928571422</v>
      </c>
      <c r="C18" s="1"/>
      <c r="D18" s="1"/>
    </row>
    <row r="19" spans="1:5">
      <c r="A19" s="1"/>
      <c r="B19" s="1"/>
      <c r="C19" s="1"/>
      <c r="D19" s="1"/>
    </row>
    <row r="20" spans="1:5">
      <c r="A20" s="86" t="s">
        <v>27</v>
      </c>
      <c r="B20" s="87"/>
      <c r="C20" s="87"/>
      <c r="D20" s="88"/>
    </row>
    <row r="21" spans="1:5">
      <c r="A21" s="5" t="s">
        <v>2</v>
      </c>
      <c r="B21" s="5" t="s">
        <v>3</v>
      </c>
      <c r="C21" s="23" t="s">
        <v>22</v>
      </c>
      <c r="D21" s="5" t="s">
        <v>23</v>
      </c>
    </row>
    <row r="22" spans="1:5">
      <c r="A22" s="46" t="s">
        <v>74</v>
      </c>
      <c r="B22" s="7">
        <v>50000</v>
      </c>
      <c r="C22" s="25"/>
      <c r="D22" s="8">
        <f>B22</f>
        <v>50000</v>
      </c>
      <c r="E22" s="1" t="s">
        <v>36</v>
      </c>
    </row>
    <row r="23" spans="1:5">
      <c r="A23" s="46" t="s">
        <v>80</v>
      </c>
      <c r="B23" s="8">
        <f>(B17/1.12)-B22</f>
        <v>8003794.6428571418</v>
      </c>
      <c r="C23" s="26">
        <f>(B23+B22)*12%</f>
        <v>966455.35714285693</v>
      </c>
      <c r="D23" s="8">
        <f>C23+B23</f>
        <v>8970249.9999999981</v>
      </c>
      <c r="E23" s="1" t="s">
        <v>38</v>
      </c>
    </row>
    <row r="24" spans="1:5">
      <c r="A24" s="6"/>
      <c r="B24" s="8"/>
      <c r="C24" s="26">
        <f>B29</f>
        <v>287806.41928571422</v>
      </c>
      <c r="D24" s="8">
        <f>B29</f>
        <v>287806.41928571422</v>
      </c>
      <c r="E24" s="24" t="s">
        <v>37</v>
      </c>
    </row>
    <row r="25" spans="1:5">
      <c r="A25" s="10"/>
      <c r="B25" s="11"/>
      <c r="C25" s="27"/>
      <c r="D25" s="11"/>
      <c r="E25" s="28"/>
    </row>
    <row r="26" spans="1:5">
      <c r="A26" s="12"/>
      <c r="B26" s="12"/>
      <c r="C26" s="1"/>
      <c r="D26" s="1"/>
    </row>
    <row r="27" spans="1:5">
      <c r="A27" s="1" t="s">
        <v>44</v>
      </c>
      <c r="B27" s="13">
        <f>(B17/1.12)*3%</f>
        <v>241613.83928571423</v>
      </c>
      <c r="C27" s="1" t="s">
        <v>45</v>
      </c>
      <c r="D27" s="1"/>
    </row>
    <row r="28" spans="1:5">
      <c r="A28" s="1" t="s">
        <v>102</v>
      </c>
      <c r="B28" s="41">
        <v>46192.58</v>
      </c>
      <c r="C28" s="1"/>
      <c r="D28" s="1"/>
    </row>
    <row r="29" spans="1:5">
      <c r="A29" s="1"/>
      <c r="B29" s="13">
        <f>SUM(B27:B28)</f>
        <v>287806.41928571422</v>
      </c>
    </row>
    <row r="30" spans="1:5">
      <c r="A30" s="1"/>
      <c r="B30" s="13"/>
    </row>
    <row r="32" spans="1:5">
      <c r="A32" s="15" t="s">
        <v>13</v>
      </c>
      <c r="B32" s="15"/>
      <c r="C32" s="15"/>
    </row>
    <row r="33" spans="1:3">
      <c r="A33" s="15" t="s">
        <v>8</v>
      </c>
      <c r="B33" s="15"/>
      <c r="C33" s="15"/>
    </row>
    <row r="34" spans="1:3">
      <c r="A34" s="15" t="s">
        <v>9</v>
      </c>
      <c r="B34" s="15"/>
      <c r="C34" s="15"/>
    </row>
    <row r="35" spans="1:3">
      <c r="A35" s="15" t="s">
        <v>10</v>
      </c>
      <c r="B35" s="15"/>
      <c r="C35" s="15"/>
    </row>
    <row r="36" spans="1:3">
      <c r="A36" s="15" t="s">
        <v>32</v>
      </c>
      <c r="B36" s="15"/>
      <c r="C36" s="15"/>
    </row>
    <row r="37" spans="1:3">
      <c r="A37" s="15" t="s">
        <v>33</v>
      </c>
      <c r="B37" s="15"/>
      <c r="C37" s="15"/>
    </row>
    <row r="39" spans="1:3">
      <c r="A39" s="16" t="s">
        <v>11</v>
      </c>
    </row>
    <row r="40" spans="1:3">
      <c r="A40" s="17"/>
    </row>
    <row r="41" spans="1:3">
      <c r="A41" s="17"/>
    </row>
    <row r="42" spans="1:3">
      <c r="A42" s="18"/>
      <c r="C42" s="29"/>
    </row>
    <row r="43" spans="1:3">
      <c r="A43" s="30" t="s">
        <v>24</v>
      </c>
      <c r="C43" s="19" t="s">
        <v>24</v>
      </c>
    </row>
    <row r="44" spans="1:3">
      <c r="A44" s="22"/>
    </row>
    <row r="45" spans="1:3">
      <c r="A45" s="21"/>
    </row>
    <row r="46" spans="1:3">
      <c r="A46" s="19"/>
    </row>
    <row r="48" spans="1:3">
      <c r="A48" s="29"/>
    </row>
    <row r="49" spans="1:1">
      <c r="A49" s="32" t="s">
        <v>25</v>
      </c>
    </row>
    <row r="50" spans="1:1">
      <c r="A50" s="31" t="s">
        <v>26</v>
      </c>
    </row>
  </sheetData>
  <sheetProtection sheet="1" objects="1" scenarios="1"/>
  <protectedRanges>
    <protectedRange sqref="A50" name="Range8"/>
    <protectedRange sqref="A48" name="Range7"/>
    <protectedRange sqref="C42" name="Range6"/>
    <protectedRange sqref="A42" name="Range5"/>
    <protectedRange sqref="E6" name="Range3"/>
    <protectedRange sqref="A6" name="Range2"/>
    <protectedRange sqref="B9" name="Range1"/>
    <protectedRange sqref="A22:A23" name="Range4"/>
  </protectedRanges>
  <mergeCells count="2">
    <mergeCell ref="A8:B8"/>
    <mergeCell ref="A20:D20"/>
  </mergeCells>
  <phoneticPr fontId="9" type="noConversion"/>
  <pageMargins left="0.75" right="0.47" top="1" bottom="1" header="0.5" footer="0.5"/>
  <pageSetup paperSize="5" scale="88" orientation="portrait" horizontalDpi="0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6:E55"/>
  <sheetViews>
    <sheetView zoomScale="90" zoomScaleNormal="90" workbookViewId="0">
      <selection activeCell="B16" sqref="B16"/>
    </sheetView>
  </sheetViews>
  <sheetFormatPr defaultRowHeight="12.75"/>
  <cols>
    <col min="1" max="1" width="28.5703125" customWidth="1"/>
    <col min="2" max="2" width="17.42578125" customWidth="1"/>
    <col min="3" max="3" width="22.85546875" customWidth="1"/>
    <col min="4" max="4" width="17" customWidth="1"/>
    <col min="5" max="5" width="20.28515625" customWidth="1"/>
    <col min="7" max="7" width="11.7109375" customWidth="1"/>
  </cols>
  <sheetData>
    <row r="6" spans="1:4">
      <c r="A6" s="1" t="s">
        <v>17</v>
      </c>
      <c r="B6" s="1"/>
      <c r="C6" s="1"/>
      <c r="D6" s="1" t="s">
        <v>20</v>
      </c>
    </row>
    <row r="7" spans="1:4">
      <c r="A7" s="1"/>
      <c r="B7" s="1"/>
      <c r="C7" s="1"/>
      <c r="D7" s="1"/>
    </row>
    <row r="8" spans="1:4">
      <c r="A8" s="84" t="s">
        <v>95</v>
      </c>
      <c r="B8" s="85"/>
      <c r="C8" s="1"/>
      <c r="D8" s="1"/>
    </row>
    <row r="9" spans="1:4">
      <c r="A9" s="2" t="s">
        <v>0</v>
      </c>
      <c r="B9" s="3" t="str">
        <f>Cash30!B9</f>
        <v>Unit 1</v>
      </c>
      <c r="C9" s="1"/>
      <c r="D9" s="1"/>
    </row>
    <row r="10" spans="1:4">
      <c r="A10" s="2" t="s">
        <v>12</v>
      </c>
      <c r="B10" s="36" t="str">
        <f>VLOOKUP(B9,Price!A:D,4,FALSE)</f>
        <v xml:space="preserve">Townhouse </v>
      </c>
      <c r="C10" s="1"/>
      <c r="D10" s="1"/>
    </row>
    <row r="11" spans="1:4">
      <c r="A11" s="2" t="s">
        <v>19</v>
      </c>
      <c r="B11" s="36">
        <f>VLOOKUP(B9,Price!A:E,5,FALSE)</f>
        <v>52.28</v>
      </c>
      <c r="C11" s="1"/>
      <c r="D11" s="1"/>
    </row>
    <row r="12" spans="1:4">
      <c r="A12" s="2" t="s">
        <v>67</v>
      </c>
      <c r="B12" s="3">
        <f>VLOOKUP(B9,Price!A:F,6,FALSE)</f>
        <v>164.57</v>
      </c>
      <c r="C12" s="1"/>
      <c r="D12" s="1"/>
    </row>
    <row r="13" spans="1:4">
      <c r="A13" s="2" t="s">
        <v>68</v>
      </c>
      <c r="B13" s="3">
        <f>VLOOKUP(B9,Price!A:G,7,FALSE)</f>
        <v>5.51</v>
      </c>
      <c r="C13" s="1"/>
      <c r="D13" s="1"/>
    </row>
    <row r="14" spans="1:4">
      <c r="A14" s="2" t="s">
        <v>69</v>
      </c>
      <c r="B14" s="3">
        <f>VLOOKUP(B9,Price!A:H,8,FALSE)</f>
        <v>170.07999999999998</v>
      </c>
      <c r="C14" s="1"/>
      <c r="D14" s="1"/>
    </row>
    <row r="15" spans="1:4">
      <c r="A15" s="2" t="s">
        <v>43</v>
      </c>
      <c r="B15" s="45">
        <f>VLOOKUP(B9,Price!A:J,10,FALSE)</f>
        <v>9495000</v>
      </c>
      <c r="C15" s="1"/>
      <c r="D15" s="1"/>
    </row>
    <row r="16" spans="1:4">
      <c r="A16" s="2" t="s">
        <v>53</v>
      </c>
      <c r="B16" s="20">
        <f>(B15*20%)*5%</f>
        <v>94950</v>
      </c>
      <c r="C16" s="13"/>
      <c r="D16" s="1"/>
    </row>
    <row r="17" spans="1:5">
      <c r="A17" s="50" t="s">
        <v>21</v>
      </c>
      <c r="B17" s="52">
        <f>B15-B16</f>
        <v>9400050</v>
      </c>
      <c r="C17" s="1"/>
      <c r="D17" s="1"/>
    </row>
    <row r="18" spans="1:5">
      <c r="A18" s="2" t="s">
        <v>1</v>
      </c>
      <c r="B18" s="4">
        <f>B29</f>
        <v>297979.63357142854</v>
      </c>
      <c r="C18" s="1"/>
      <c r="D18" s="1"/>
    </row>
    <row r="19" spans="1:5">
      <c r="A19" s="1"/>
      <c r="B19" s="1"/>
      <c r="C19" s="1"/>
      <c r="D19" s="1"/>
    </row>
    <row r="20" spans="1:5">
      <c r="A20" s="86" t="s">
        <v>39</v>
      </c>
      <c r="B20" s="87"/>
      <c r="C20" s="87"/>
      <c r="D20" s="88"/>
    </row>
    <row r="21" spans="1:5">
      <c r="A21" s="5" t="s">
        <v>2</v>
      </c>
      <c r="B21" s="5" t="s">
        <v>3</v>
      </c>
      <c r="C21" s="23" t="s">
        <v>22</v>
      </c>
      <c r="D21" s="5" t="s">
        <v>23</v>
      </c>
    </row>
    <row r="22" spans="1:5">
      <c r="A22" s="46" t="s">
        <v>74</v>
      </c>
      <c r="B22" s="7">
        <v>50000</v>
      </c>
      <c r="C22" s="25"/>
      <c r="D22" s="8">
        <f>B22</f>
        <v>50000</v>
      </c>
      <c r="E22" s="1" t="s">
        <v>36</v>
      </c>
    </row>
    <row r="23" spans="1:5">
      <c r="A23" s="46" t="s">
        <v>80</v>
      </c>
      <c r="B23" s="8">
        <f>(B17*20%/1.12)-B22</f>
        <v>1628580.357142857</v>
      </c>
      <c r="C23" s="26">
        <f>(B17*20%/1.12)*12%</f>
        <v>201429.64285714284</v>
      </c>
      <c r="D23" s="8">
        <f>(B17*20%)-B22</f>
        <v>1830010</v>
      </c>
      <c r="E23" s="1" t="s">
        <v>4</v>
      </c>
    </row>
    <row r="24" spans="1:5">
      <c r="A24" s="46"/>
      <c r="B24" s="8"/>
      <c r="C24" s="26">
        <f>B29</f>
        <v>297979.63357142854</v>
      </c>
      <c r="D24" s="8">
        <f>B29</f>
        <v>297979.63357142854</v>
      </c>
      <c r="E24" s="24" t="s">
        <v>6</v>
      </c>
    </row>
    <row r="25" spans="1:5">
      <c r="A25" s="47" t="s">
        <v>88</v>
      </c>
      <c r="B25" s="11">
        <f>D25/1.12</f>
        <v>6714321.4285714282</v>
      </c>
      <c r="C25" s="27">
        <f>B25*12%</f>
        <v>805718.57142857136</v>
      </c>
      <c r="D25" s="11">
        <f>B17*80%</f>
        <v>7520040</v>
      </c>
      <c r="E25" s="28" t="s">
        <v>34</v>
      </c>
    </row>
    <row r="26" spans="1:5">
      <c r="A26" s="12"/>
      <c r="B26" s="12"/>
      <c r="C26" s="1"/>
      <c r="D26" s="1"/>
    </row>
    <row r="27" spans="1:5">
      <c r="A27" s="1" t="s">
        <v>44</v>
      </c>
      <c r="B27" s="13">
        <f>B17/1.12*3%</f>
        <v>251787.05357142855</v>
      </c>
      <c r="C27" s="1" t="s">
        <v>45</v>
      </c>
      <c r="D27" s="1"/>
    </row>
    <row r="28" spans="1:5">
      <c r="A28" s="1" t="s">
        <v>102</v>
      </c>
      <c r="B28" s="41">
        <v>46192.58</v>
      </c>
      <c r="C28" s="1"/>
      <c r="D28" s="1"/>
    </row>
    <row r="29" spans="1:5">
      <c r="A29" s="1"/>
      <c r="B29" s="13">
        <f>SUM(B27:B28)</f>
        <v>297979.63357142854</v>
      </c>
    </row>
    <row r="30" spans="1:5">
      <c r="A30" s="1"/>
      <c r="B30" s="13"/>
    </row>
    <row r="31" spans="1:5">
      <c r="A31" s="1" t="s">
        <v>7</v>
      </c>
      <c r="B31" s="42"/>
      <c r="C31" s="42"/>
      <c r="D31" s="42"/>
      <c r="E31" s="42"/>
    </row>
    <row r="32" spans="1:5">
      <c r="A32" s="1" t="s">
        <v>57</v>
      </c>
      <c r="B32" s="14">
        <f>D25*0.04432</f>
        <v>333288.1728</v>
      </c>
      <c r="C32" s="1" t="s">
        <v>60</v>
      </c>
      <c r="D32" s="14">
        <f>D25*0.0124</f>
        <v>93248.495999999999</v>
      </c>
      <c r="E32" s="42"/>
    </row>
    <row r="33" spans="1:5">
      <c r="A33" s="1" t="s">
        <v>58</v>
      </c>
      <c r="B33" s="14">
        <f>D25*0.03054</f>
        <v>229662.02160000001</v>
      </c>
      <c r="C33" s="1" t="s">
        <v>61</v>
      </c>
      <c r="D33" s="14">
        <f>D25*0.01168</f>
        <v>87834.06719999999</v>
      </c>
      <c r="E33" s="42"/>
    </row>
    <row r="34" spans="1:5">
      <c r="A34" s="1" t="s">
        <v>59</v>
      </c>
      <c r="B34" s="14">
        <f>D25*0.0198</f>
        <v>148896.79200000002</v>
      </c>
      <c r="C34" s="1"/>
      <c r="D34" s="14"/>
      <c r="E34" s="42"/>
    </row>
    <row r="35" spans="1:5">
      <c r="A35" s="74" t="s">
        <v>55</v>
      </c>
      <c r="B35" s="14"/>
      <c r="C35" s="1"/>
      <c r="D35" s="14"/>
      <c r="E35" s="42"/>
    </row>
    <row r="36" spans="1:5" ht="12.75" customHeight="1">
      <c r="A36" s="73"/>
      <c r="B36" s="14"/>
      <c r="C36" s="1"/>
      <c r="D36" s="14"/>
    </row>
    <row r="37" spans="1:5">
      <c r="A37" s="15" t="s">
        <v>13</v>
      </c>
      <c r="B37" s="15"/>
      <c r="C37" s="15"/>
    </row>
    <row r="38" spans="1:5">
      <c r="A38" s="15" t="s">
        <v>8</v>
      </c>
      <c r="B38" s="15"/>
      <c r="C38" s="15"/>
    </row>
    <row r="39" spans="1:5">
      <c r="A39" s="15" t="s">
        <v>9</v>
      </c>
      <c r="B39" s="15"/>
      <c r="C39" s="15"/>
    </row>
    <row r="40" spans="1:5">
      <c r="A40" s="15" t="s">
        <v>10</v>
      </c>
      <c r="B40" s="15"/>
      <c r="C40" s="15"/>
    </row>
    <row r="41" spans="1:5">
      <c r="A41" s="15" t="s">
        <v>32</v>
      </c>
      <c r="B41" s="15"/>
      <c r="C41" s="15"/>
    </row>
    <row r="42" spans="1:5">
      <c r="A42" s="15" t="s">
        <v>33</v>
      </c>
      <c r="B42" s="15"/>
      <c r="C42" s="15"/>
    </row>
    <row r="44" spans="1:5">
      <c r="A44" s="16" t="s">
        <v>11</v>
      </c>
    </row>
    <row r="45" spans="1:5">
      <c r="A45" s="17"/>
    </row>
    <row r="46" spans="1:5">
      <c r="A46" s="17"/>
    </row>
    <row r="47" spans="1:5">
      <c r="A47" s="18"/>
      <c r="C47" s="29"/>
    </row>
    <row r="48" spans="1:5">
      <c r="A48" s="30" t="s">
        <v>24</v>
      </c>
      <c r="C48" s="19" t="s">
        <v>24</v>
      </c>
    </row>
    <row r="49" spans="1:1">
      <c r="A49" s="22"/>
    </row>
    <row r="50" spans="1:1">
      <c r="A50" s="21"/>
    </row>
    <row r="51" spans="1:1">
      <c r="A51" s="19"/>
    </row>
    <row r="53" spans="1:1">
      <c r="A53" s="29"/>
    </row>
    <row r="54" spans="1:1">
      <c r="A54" s="32" t="s">
        <v>25</v>
      </c>
    </row>
    <row r="55" spans="1:1">
      <c r="A55" s="31" t="s">
        <v>26</v>
      </c>
    </row>
  </sheetData>
  <protectedRanges>
    <protectedRange sqref="A55" name="Range7"/>
    <protectedRange sqref="A53" name="Range6"/>
    <protectedRange sqref="C47" name="Range5"/>
    <protectedRange sqref="A47" name="Range4"/>
    <protectedRange sqref="E6" name="Range2"/>
    <protectedRange sqref="A6" name="Range1"/>
    <protectedRange sqref="A22:A23" name="Range3_1_1_1"/>
  </protectedRanges>
  <mergeCells count="2">
    <mergeCell ref="A8:B8"/>
    <mergeCell ref="A20:D20"/>
  </mergeCells>
  <phoneticPr fontId="9" type="noConversion"/>
  <pageMargins left="0.7" right="0.7" top="0.75" bottom="0.75" header="0.3" footer="0.3"/>
  <pageSetup scale="85" orientation="portrait" horizontalDpi="0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/>
  <dimension ref="A6:E55"/>
  <sheetViews>
    <sheetView topLeftCell="A5" zoomScale="90" zoomScaleNormal="90" workbookViewId="0">
      <selection activeCell="B16" sqref="B16"/>
    </sheetView>
  </sheetViews>
  <sheetFormatPr defaultRowHeight="12.75"/>
  <cols>
    <col min="1" max="1" width="28.5703125" customWidth="1"/>
    <col min="2" max="2" width="17.42578125" customWidth="1"/>
    <col min="3" max="3" width="22.85546875" customWidth="1"/>
    <col min="4" max="4" width="17" customWidth="1"/>
    <col min="5" max="5" width="20.28515625" customWidth="1"/>
    <col min="7" max="7" width="11.5703125" customWidth="1"/>
  </cols>
  <sheetData>
    <row r="6" spans="1:4">
      <c r="A6" s="1" t="s">
        <v>17</v>
      </c>
      <c r="B6" s="1"/>
      <c r="C6" s="1"/>
      <c r="D6" s="1" t="s">
        <v>20</v>
      </c>
    </row>
    <row r="7" spans="1:4">
      <c r="A7" s="1"/>
      <c r="B7" s="1"/>
      <c r="C7" s="1"/>
      <c r="D7" s="1"/>
    </row>
    <row r="8" spans="1:4">
      <c r="A8" s="84" t="s">
        <v>95</v>
      </c>
      <c r="B8" s="85"/>
      <c r="C8" s="1"/>
      <c r="D8" s="1"/>
    </row>
    <row r="9" spans="1:4">
      <c r="A9" s="2" t="s">
        <v>0</v>
      </c>
      <c r="B9" s="3" t="str">
        <f>Cash30!B9</f>
        <v>Unit 1</v>
      </c>
      <c r="C9" s="1"/>
      <c r="D9" s="1"/>
    </row>
    <row r="10" spans="1:4">
      <c r="A10" s="2" t="s">
        <v>12</v>
      </c>
      <c r="B10" s="36" t="str">
        <f>VLOOKUP(B9,Price!A:D,4,FALSE)</f>
        <v xml:space="preserve">Townhouse </v>
      </c>
      <c r="C10" s="1"/>
      <c r="D10" s="1"/>
    </row>
    <row r="11" spans="1:4">
      <c r="A11" s="2" t="s">
        <v>19</v>
      </c>
      <c r="B11" s="36">
        <f>VLOOKUP(B9,Price!A:E,5,FALSE)</f>
        <v>52.28</v>
      </c>
      <c r="C11" s="1"/>
      <c r="D11" s="1"/>
    </row>
    <row r="12" spans="1:4">
      <c r="A12" s="2" t="s">
        <v>67</v>
      </c>
      <c r="B12" s="3">
        <f>VLOOKUP(B9,Price!A:F,6,FALSE)</f>
        <v>164.57</v>
      </c>
      <c r="C12" s="1"/>
      <c r="D12" s="1"/>
    </row>
    <row r="13" spans="1:4">
      <c r="A13" s="2" t="s">
        <v>68</v>
      </c>
      <c r="B13" s="3">
        <f>VLOOKUP(B9,Price!A:G,7,FALSE)</f>
        <v>5.51</v>
      </c>
      <c r="C13" s="1"/>
      <c r="D13" s="1"/>
    </row>
    <row r="14" spans="1:4">
      <c r="A14" s="2" t="s">
        <v>69</v>
      </c>
      <c r="B14" s="3">
        <f>VLOOKUP(B9,Price!A:H,8,FALSE)</f>
        <v>170.07999999999998</v>
      </c>
      <c r="C14" s="1"/>
      <c r="D14" s="1"/>
    </row>
    <row r="15" spans="1:4">
      <c r="A15" s="2" t="s">
        <v>43</v>
      </c>
      <c r="B15" s="45">
        <f>VLOOKUP(B9,Price!A:J,10,FALSE)</f>
        <v>9495000</v>
      </c>
      <c r="C15" s="1"/>
      <c r="D15" s="1"/>
    </row>
    <row r="16" spans="1:4">
      <c r="A16" s="2" t="s">
        <v>53</v>
      </c>
      <c r="B16" s="20">
        <f>(B15*30%)*5%</f>
        <v>142425</v>
      </c>
      <c r="C16" s="13"/>
      <c r="D16" s="1"/>
    </row>
    <row r="17" spans="1:5">
      <c r="A17" s="50" t="s">
        <v>21</v>
      </c>
      <c r="B17" s="52">
        <f>B15-B16</f>
        <v>9352575</v>
      </c>
      <c r="C17" s="1"/>
      <c r="D17" s="1"/>
    </row>
    <row r="18" spans="1:5">
      <c r="A18" s="2" t="s">
        <v>1</v>
      </c>
      <c r="B18" s="4">
        <f>B29</f>
        <v>296707.98178571422</v>
      </c>
      <c r="C18" s="1"/>
      <c r="D18" s="1"/>
    </row>
    <row r="19" spans="1:5">
      <c r="A19" s="1"/>
      <c r="B19" s="1"/>
      <c r="C19" s="1"/>
      <c r="D19" s="1"/>
    </row>
    <row r="20" spans="1:5">
      <c r="A20" s="86" t="s">
        <v>40</v>
      </c>
      <c r="B20" s="87"/>
      <c r="C20" s="87"/>
      <c r="D20" s="88"/>
    </row>
    <row r="21" spans="1:5">
      <c r="A21" s="5" t="s">
        <v>2</v>
      </c>
      <c r="B21" s="5" t="s">
        <v>3</v>
      </c>
      <c r="C21" s="80" t="s">
        <v>22</v>
      </c>
      <c r="D21" s="5" t="s">
        <v>23</v>
      </c>
    </row>
    <row r="22" spans="1:5">
      <c r="A22" s="46" t="s">
        <v>74</v>
      </c>
      <c r="B22" s="7">
        <v>50000</v>
      </c>
      <c r="C22" s="25"/>
      <c r="D22" s="8">
        <f>B22</f>
        <v>50000</v>
      </c>
      <c r="E22" s="1" t="s">
        <v>36</v>
      </c>
    </row>
    <row r="23" spans="1:5">
      <c r="A23" s="46" t="s">
        <v>80</v>
      </c>
      <c r="B23" s="8">
        <f>(B17*30%/1.12)-B22</f>
        <v>2455154.0178571427</v>
      </c>
      <c r="C23" s="26">
        <f>(B17*30%/1.12)*12%</f>
        <v>300618.4821428571</v>
      </c>
      <c r="D23" s="8">
        <f>(B17*30%)-B22</f>
        <v>2755772.5</v>
      </c>
      <c r="E23" s="1" t="s">
        <v>4</v>
      </c>
    </row>
    <row r="24" spans="1:5">
      <c r="A24" s="46"/>
      <c r="B24" s="8"/>
      <c r="C24" s="26">
        <f>B29</f>
        <v>296707.98178571422</v>
      </c>
      <c r="D24" s="8">
        <f>B29</f>
        <v>296707.98178571422</v>
      </c>
      <c r="E24" s="24" t="s">
        <v>6</v>
      </c>
    </row>
    <row r="25" spans="1:5">
      <c r="A25" s="47" t="s">
        <v>88</v>
      </c>
      <c r="B25" s="11">
        <f>D25/1.12</f>
        <v>5845359.3749999991</v>
      </c>
      <c r="C25" s="27">
        <f>B25*12%</f>
        <v>701443.12499999988</v>
      </c>
      <c r="D25" s="11">
        <f>B17*70%</f>
        <v>6546802.5</v>
      </c>
      <c r="E25" s="28" t="s">
        <v>34</v>
      </c>
    </row>
    <row r="26" spans="1:5">
      <c r="A26" s="12"/>
      <c r="B26" s="12"/>
      <c r="C26" s="1"/>
      <c r="D26" s="1"/>
    </row>
    <row r="27" spans="1:5">
      <c r="A27" s="1" t="s">
        <v>44</v>
      </c>
      <c r="B27" s="13">
        <f>B17/1.12*3%</f>
        <v>250515.40178571423</v>
      </c>
      <c r="C27" s="1" t="s">
        <v>45</v>
      </c>
      <c r="D27" s="1"/>
    </row>
    <row r="28" spans="1:5">
      <c r="A28" s="1" t="s">
        <v>102</v>
      </c>
      <c r="B28" s="41">
        <v>46192.58</v>
      </c>
      <c r="C28" s="1"/>
      <c r="D28" s="1"/>
    </row>
    <row r="29" spans="1:5">
      <c r="A29" s="1"/>
      <c r="B29" s="13">
        <f>SUM(B27:B28)</f>
        <v>296707.98178571422</v>
      </c>
    </row>
    <row r="30" spans="1:5">
      <c r="A30" s="1"/>
      <c r="B30" s="13"/>
    </row>
    <row r="31" spans="1:5">
      <c r="A31" s="1" t="s">
        <v>7</v>
      </c>
      <c r="B31" s="42"/>
      <c r="C31" s="42"/>
      <c r="D31" s="42"/>
      <c r="E31" s="42"/>
    </row>
    <row r="32" spans="1:5">
      <c r="A32" s="1" t="s">
        <v>57</v>
      </c>
      <c r="B32" s="14">
        <f>D25*0.04432</f>
        <v>290154.2868</v>
      </c>
      <c r="C32" s="1" t="s">
        <v>60</v>
      </c>
      <c r="D32" s="14">
        <f>D25*0.0124</f>
        <v>81180.350999999995</v>
      </c>
      <c r="E32" s="42"/>
    </row>
    <row r="33" spans="1:5">
      <c r="A33" s="1" t="s">
        <v>58</v>
      </c>
      <c r="B33" s="14">
        <f>D25*0.03054</f>
        <v>199939.34835000001</v>
      </c>
      <c r="C33" s="1" t="s">
        <v>61</v>
      </c>
      <c r="D33" s="14">
        <f>D25*0.01168</f>
        <v>76466.653200000001</v>
      </c>
      <c r="E33" s="42"/>
    </row>
    <row r="34" spans="1:5">
      <c r="A34" s="1" t="s">
        <v>59</v>
      </c>
      <c r="B34" s="14">
        <f>D25*0.0198</f>
        <v>129626.68950000001</v>
      </c>
      <c r="C34" s="1"/>
      <c r="D34" s="14"/>
      <c r="E34" s="42"/>
    </row>
    <row r="35" spans="1:5">
      <c r="A35" s="74" t="s">
        <v>55</v>
      </c>
      <c r="B35" s="14"/>
      <c r="C35" s="1"/>
      <c r="D35" s="14"/>
      <c r="E35" s="42"/>
    </row>
    <row r="36" spans="1:5">
      <c r="A36" s="73"/>
      <c r="B36" s="14"/>
      <c r="C36" s="1"/>
      <c r="D36" s="14"/>
    </row>
    <row r="37" spans="1:5">
      <c r="A37" s="15" t="s">
        <v>13</v>
      </c>
      <c r="B37" s="15"/>
      <c r="C37" s="15"/>
    </row>
    <row r="38" spans="1:5">
      <c r="A38" s="15" t="s">
        <v>8</v>
      </c>
      <c r="B38" s="15"/>
      <c r="C38" s="15"/>
    </row>
    <row r="39" spans="1:5">
      <c r="A39" s="15" t="s">
        <v>9</v>
      </c>
      <c r="B39" s="15"/>
      <c r="C39" s="15"/>
    </row>
    <row r="40" spans="1:5">
      <c r="A40" s="15" t="s">
        <v>10</v>
      </c>
      <c r="B40" s="15"/>
      <c r="C40" s="15"/>
    </row>
    <row r="41" spans="1:5">
      <c r="A41" s="15" t="s">
        <v>32</v>
      </c>
      <c r="B41" s="15"/>
      <c r="C41" s="15"/>
    </row>
    <row r="42" spans="1:5">
      <c r="A42" s="15" t="s">
        <v>33</v>
      </c>
      <c r="B42" s="15"/>
      <c r="C42" s="15"/>
    </row>
    <row r="44" spans="1:5">
      <c r="A44" s="16" t="s">
        <v>11</v>
      </c>
    </row>
    <row r="45" spans="1:5">
      <c r="A45" s="17"/>
    </row>
    <row r="46" spans="1:5">
      <c r="A46" s="17"/>
    </row>
    <row r="47" spans="1:5">
      <c r="A47" s="18"/>
      <c r="C47" s="29"/>
    </row>
    <row r="48" spans="1:5">
      <c r="A48" s="30" t="s">
        <v>24</v>
      </c>
      <c r="C48" s="19" t="s">
        <v>24</v>
      </c>
    </row>
    <row r="49" spans="1:1">
      <c r="A49" s="22"/>
    </row>
    <row r="50" spans="1:1">
      <c r="A50" s="21"/>
    </row>
    <row r="51" spans="1:1">
      <c r="A51" s="19"/>
    </row>
    <row r="53" spans="1:1">
      <c r="A53" s="29"/>
    </row>
    <row r="54" spans="1:1">
      <c r="A54" s="32" t="s">
        <v>25</v>
      </c>
    </row>
    <row r="55" spans="1:1">
      <c r="A55" s="31" t="s">
        <v>26</v>
      </c>
    </row>
  </sheetData>
  <protectedRanges>
    <protectedRange sqref="A55" name="Range7_2"/>
    <protectedRange sqref="A53" name="Range6_2"/>
    <protectedRange sqref="C47" name="Range5_2"/>
    <protectedRange sqref="A47" name="Range4_2"/>
    <protectedRange sqref="E6" name="Range2_2"/>
    <protectedRange sqref="A6" name="Range1_2"/>
    <protectedRange sqref="A22:A23" name="Range3_1_1_1"/>
  </protectedRanges>
  <mergeCells count="2">
    <mergeCell ref="A8:B8"/>
    <mergeCell ref="A20:D20"/>
  </mergeCells>
  <phoneticPr fontId="9" type="noConversion"/>
  <pageMargins left="0.65" right="0.62" top="1" bottom="1" header="0.5" footer="0.5"/>
  <pageSetup scale="80" orientation="portrait" horizontalDpi="0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6:E58"/>
  <sheetViews>
    <sheetView workbookViewId="0">
      <selection activeCell="B15" sqref="B15"/>
    </sheetView>
  </sheetViews>
  <sheetFormatPr defaultRowHeight="12.75"/>
  <cols>
    <col min="1" max="1" width="28.5703125" customWidth="1"/>
    <col min="2" max="2" width="17.42578125" customWidth="1"/>
    <col min="3" max="3" width="22.85546875" customWidth="1"/>
    <col min="4" max="4" width="17" customWidth="1"/>
    <col min="5" max="5" width="20.28515625" customWidth="1"/>
    <col min="7" max="7" width="11.5703125" customWidth="1"/>
  </cols>
  <sheetData>
    <row r="6" spans="1:4">
      <c r="A6" s="1" t="s">
        <v>17</v>
      </c>
      <c r="B6" s="1"/>
      <c r="C6" s="1"/>
      <c r="D6" s="1" t="s">
        <v>20</v>
      </c>
    </row>
    <row r="7" spans="1:4">
      <c r="A7" s="1"/>
      <c r="B7" s="1"/>
      <c r="C7" s="1"/>
      <c r="D7" s="1"/>
    </row>
    <row r="8" spans="1:4">
      <c r="A8" s="2" t="s">
        <v>0</v>
      </c>
      <c r="B8" s="3" t="str">
        <f>Cash30!B9</f>
        <v>Unit 1</v>
      </c>
      <c r="C8" s="1"/>
      <c r="D8" s="1"/>
    </row>
    <row r="9" spans="1:4">
      <c r="A9" s="2" t="s">
        <v>12</v>
      </c>
      <c r="B9" s="36" t="str">
        <f>VLOOKUP(B8,Price!A:D,4,FALSE)</f>
        <v xml:space="preserve">Townhouse </v>
      </c>
      <c r="C9" s="1"/>
      <c r="D9" s="1"/>
    </row>
    <row r="10" spans="1:4">
      <c r="A10" s="2" t="s">
        <v>19</v>
      </c>
      <c r="B10" s="36">
        <f>VLOOKUP(B8,Price!A:E,5,FALSE)</f>
        <v>52.28</v>
      </c>
      <c r="C10" s="1"/>
      <c r="D10" s="1"/>
    </row>
    <row r="11" spans="1:4">
      <c r="A11" s="2" t="s">
        <v>67</v>
      </c>
      <c r="B11" s="3">
        <f>VLOOKUP(B8,Price!A:F,6,FALSE)</f>
        <v>164.57</v>
      </c>
      <c r="C11" s="1"/>
      <c r="D11" s="1"/>
    </row>
    <row r="12" spans="1:4">
      <c r="A12" s="2" t="s">
        <v>68</v>
      </c>
      <c r="B12" s="3">
        <f>VLOOKUP(B8,Price!A:G,7,FALSE)</f>
        <v>5.51</v>
      </c>
      <c r="C12" s="1"/>
      <c r="D12" s="1"/>
    </row>
    <row r="13" spans="1:4">
      <c r="A13" s="2" t="s">
        <v>69</v>
      </c>
      <c r="B13" s="3">
        <f>VLOOKUP(B8,Price!A:H,8,FALSE)</f>
        <v>170.07999999999998</v>
      </c>
      <c r="C13" s="1"/>
      <c r="D13" s="1"/>
    </row>
    <row r="14" spans="1:4">
      <c r="A14" s="2" t="s">
        <v>43</v>
      </c>
      <c r="B14" s="45">
        <f>VLOOKUP(B8,Price!A:J,10,FALSE)</f>
        <v>9495000</v>
      </c>
      <c r="C14" s="1"/>
      <c r="D14" s="1"/>
    </row>
    <row r="15" spans="1:4">
      <c r="A15" s="2" t="s">
        <v>53</v>
      </c>
      <c r="B15" s="20">
        <f>(B14*40%)*5%</f>
        <v>189900</v>
      </c>
      <c r="C15" s="13"/>
      <c r="D15" s="1"/>
    </row>
    <row r="16" spans="1:4">
      <c r="A16" s="50" t="s">
        <v>21</v>
      </c>
      <c r="B16" s="52">
        <f>B14-B15</f>
        <v>9305100</v>
      </c>
      <c r="C16" s="1"/>
      <c r="D16" s="1"/>
    </row>
    <row r="17" spans="1:5">
      <c r="A17" s="2" t="s">
        <v>1</v>
      </c>
      <c r="B17" s="4">
        <f>B28</f>
        <v>295436.32999999996</v>
      </c>
      <c r="C17" s="1"/>
      <c r="D17" s="1"/>
    </row>
    <row r="18" spans="1:5">
      <c r="A18" s="1"/>
      <c r="B18" s="1"/>
      <c r="C18" s="1"/>
      <c r="D18" s="1"/>
    </row>
    <row r="19" spans="1:5">
      <c r="A19" s="86" t="s">
        <v>51</v>
      </c>
      <c r="B19" s="87"/>
      <c r="C19" s="87"/>
      <c r="D19" s="88"/>
    </row>
    <row r="20" spans="1:5">
      <c r="A20" s="5" t="s">
        <v>2</v>
      </c>
      <c r="B20" s="5" t="s">
        <v>3</v>
      </c>
      <c r="C20" s="80" t="s">
        <v>22</v>
      </c>
      <c r="D20" s="5" t="s">
        <v>23</v>
      </c>
    </row>
    <row r="21" spans="1:5">
      <c r="A21" s="46" t="s">
        <v>74</v>
      </c>
      <c r="B21" s="7">
        <v>50000</v>
      </c>
      <c r="C21" s="25"/>
      <c r="D21" s="8">
        <f>B21</f>
        <v>50000</v>
      </c>
      <c r="E21" s="1" t="s">
        <v>36</v>
      </c>
    </row>
    <row r="22" spans="1:5">
      <c r="A22" s="46" t="s">
        <v>80</v>
      </c>
      <c r="B22" s="8">
        <f>(B16*40%/1.12)-B21</f>
        <v>3273249.9999999995</v>
      </c>
      <c r="C22" s="26">
        <f>(B16*40%/1.12)*12%</f>
        <v>398789.99999999994</v>
      </c>
      <c r="D22" s="8">
        <f>(B16*40%)-B21</f>
        <v>3672040</v>
      </c>
      <c r="E22" s="1" t="s">
        <v>4</v>
      </c>
    </row>
    <row r="23" spans="1:5">
      <c r="A23" s="46"/>
      <c r="B23" s="8"/>
      <c r="C23" s="26">
        <f>B28</f>
        <v>295436.32999999996</v>
      </c>
      <c r="D23" s="8">
        <f>B28</f>
        <v>295436.32999999996</v>
      </c>
      <c r="E23" s="24" t="s">
        <v>6</v>
      </c>
    </row>
    <row r="24" spans="1:5">
      <c r="A24" s="47" t="s">
        <v>88</v>
      </c>
      <c r="B24" s="11">
        <f>D24/1.12</f>
        <v>4984874.9999999991</v>
      </c>
      <c r="C24" s="27">
        <f>B24*12%</f>
        <v>598184.99999999988</v>
      </c>
      <c r="D24" s="11">
        <f>B16*60%</f>
        <v>5583060</v>
      </c>
      <c r="E24" s="28" t="s">
        <v>34</v>
      </c>
    </row>
    <row r="25" spans="1:5">
      <c r="A25" s="12"/>
      <c r="B25" s="12"/>
      <c r="C25" s="1"/>
      <c r="D25" s="1"/>
    </row>
    <row r="26" spans="1:5">
      <c r="A26" s="1" t="s">
        <v>44</v>
      </c>
      <c r="B26" s="13">
        <f>B16/1.12*3%</f>
        <v>249243.74999999997</v>
      </c>
      <c r="C26" s="1" t="s">
        <v>45</v>
      </c>
      <c r="D26" s="1"/>
    </row>
    <row r="27" spans="1:5">
      <c r="A27" s="1" t="s">
        <v>102</v>
      </c>
      <c r="B27" s="41">
        <v>46192.58</v>
      </c>
      <c r="C27" s="1"/>
      <c r="D27" s="1"/>
    </row>
    <row r="28" spans="1:5">
      <c r="A28" s="1"/>
      <c r="B28" s="13">
        <f>SUM(B26:B27)</f>
        <v>295436.32999999996</v>
      </c>
    </row>
    <row r="29" spans="1:5">
      <c r="A29" s="1"/>
      <c r="B29" s="13"/>
    </row>
    <row r="30" spans="1:5">
      <c r="A30" s="1" t="s">
        <v>7</v>
      </c>
      <c r="B30" s="42"/>
      <c r="C30" s="42"/>
      <c r="D30" s="42"/>
      <c r="E30" s="42"/>
    </row>
    <row r="31" spans="1:5">
      <c r="A31" s="1" t="s">
        <v>57</v>
      </c>
      <c r="B31" s="14">
        <f>D24*0.04432</f>
        <v>247441.21919999999</v>
      </c>
      <c r="C31" s="1" t="s">
        <v>60</v>
      </c>
      <c r="D31" s="14">
        <f>D24*0.0124</f>
        <v>69229.944000000003</v>
      </c>
      <c r="E31" s="42"/>
    </row>
    <row r="32" spans="1:5">
      <c r="A32" s="1" t="s">
        <v>58</v>
      </c>
      <c r="B32" s="14">
        <f>D24*0.03054</f>
        <v>170506.65240000002</v>
      </c>
      <c r="C32" s="1" t="s">
        <v>61</v>
      </c>
      <c r="D32" s="14">
        <f>D24*0.01168</f>
        <v>65210.140799999994</v>
      </c>
      <c r="E32" s="42"/>
    </row>
    <row r="33" spans="1:5">
      <c r="A33" s="1" t="s">
        <v>59</v>
      </c>
      <c r="B33" s="14">
        <f>D24*0.0198</f>
        <v>110544.588</v>
      </c>
      <c r="C33" s="1"/>
      <c r="D33" s="14"/>
      <c r="E33" s="42"/>
    </row>
    <row r="34" spans="1:5">
      <c r="A34" s="74" t="s">
        <v>55</v>
      </c>
      <c r="B34" s="14"/>
      <c r="C34" s="1"/>
      <c r="D34" s="14"/>
      <c r="E34" s="42"/>
    </row>
    <row r="35" spans="1:5">
      <c r="A35" s="73"/>
      <c r="B35" s="14"/>
      <c r="C35" s="1"/>
      <c r="D35" s="14"/>
    </row>
    <row r="36" spans="1:5">
      <c r="A36" s="15" t="s">
        <v>13</v>
      </c>
      <c r="B36" s="15"/>
      <c r="C36" s="15"/>
    </row>
    <row r="37" spans="1:5">
      <c r="A37" s="15" t="s">
        <v>8</v>
      </c>
      <c r="B37" s="15"/>
      <c r="C37" s="15"/>
    </row>
    <row r="38" spans="1:5">
      <c r="A38" s="15" t="s">
        <v>9</v>
      </c>
      <c r="B38" s="15"/>
      <c r="C38" s="15"/>
    </row>
    <row r="39" spans="1:5">
      <c r="A39" s="15" t="s">
        <v>10</v>
      </c>
      <c r="B39" s="15"/>
      <c r="C39" s="15"/>
    </row>
    <row r="40" spans="1:5">
      <c r="A40" s="15" t="s">
        <v>32</v>
      </c>
      <c r="B40" s="15"/>
      <c r="C40" s="15"/>
    </row>
    <row r="41" spans="1:5">
      <c r="A41" s="15" t="s">
        <v>33</v>
      </c>
      <c r="B41" s="15"/>
      <c r="C41" s="15"/>
    </row>
    <row r="43" spans="1:5">
      <c r="A43" s="16" t="s">
        <v>11</v>
      </c>
    </row>
    <row r="44" spans="1:5">
      <c r="A44" s="17"/>
    </row>
    <row r="45" spans="1:5">
      <c r="A45" s="17"/>
    </row>
    <row r="46" spans="1:5">
      <c r="A46" s="18"/>
      <c r="C46" s="29"/>
    </row>
    <row r="47" spans="1:5">
      <c r="A47" s="30" t="s">
        <v>24</v>
      </c>
      <c r="C47" s="19" t="s">
        <v>24</v>
      </c>
    </row>
    <row r="48" spans="1:5">
      <c r="A48" s="22"/>
    </row>
    <row r="49" spans="1:1">
      <c r="A49" s="21"/>
    </row>
    <row r="50" spans="1:1">
      <c r="A50" s="19"/>
    </row>
    <row r="52" spans="1:1">
      <c r="A52" s="29"/>
    </row>
    <row r="53" spans="1:1">
      <c r="A53" s="32" t="s">
        <v>25</v>
      </c>
    </row>
    <row r="54" spans="1:1">
      <c r="A54" s="31" t="s">
        <v>26</v>
      </c>
    </row>
    <row r="56" spans="1:1">
      <c r="A56" s="29"/>
    </row>
    <row r="57" spans="1:1">
      <c r="A57" s="32" t="s">
        <v>25</v>
      </c>
    </row>
    <row r="58" spans="1:1">
      <c r="A58" s="31" t="s">
        <v>26</v>
      </c>
    </row>
  </sheetData>
  <protectedRanges>
    <protectedRange sqref="A58" name="Range7"/>
    <protectedRange sqref="A56" name="Range6"/>
    <protectedRange sqref="A54" name="Range7_2"/>
    <protectedRange sqref="A52" name="Range6_2"/>
    <protectedRange sqref="C46" name="Range5_2"/>
    <protectedRange sqref="A46" name="Range4_2"/>
    <protectedRange sqref="E6" name="Range2_2"/>
    <protectedRange sqref="A6" name="Range1_2"/>
    <protectedRange sqref="A21:A22" name="Range3_1_1_1_1"/>
  </protectedRanges>
  <mergeCells count="1">
    <mergeCell ref="A19:D19"/>
  </mergeCells>
  <pageMargins left="0.7" right="0.7" top="0.75" bottom="0.75" header="0.3" footer="0.3"/>
  <pageSetup scale="85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6:E59"/>
  <sheetViews>
    <sheetView topLeftCell="A6" workbookViewId="0">
      <selection activeCell="B16" sqref="B16"/>
    </sheetView>
  </sheetViews>
  <sheetFormatPr defaultRowHeight="12.75"/>
  <cols>
    <col min="1" max="1" width="28.5703125" customWidth="1"/>
    <col min="2" max="2" width="17.42578125" customWidth="1"/>
    <col min="3" max="3" width="22.85546875" customWidth="1"/>
    <col min="4" max="4" width="17" customWidth="1"/>
    <col min="5" max="5" width="20.28515625" customWidth="1"/>
    <col min="7" max="7" width="11.5703125" customWidth="1"/>
  </cols>
  <sheetData>
    <row r="6" spans="1:4">
      <c r="A6" s="1" t="s">
        <v>17</v>
      </c>
      <c r="B6" s="1"/>
      <c r="C6" s="1"/>
      <c r="D6" s="1" t="s">
        <v>20</v>
      </c>
    </row>
    <row r="7" spans="1:4">
      <c r="A7" s="1"/>
      <c r="B7" s="1"/>
      <c r="C7" s="1"/>
      <c r="D7" s="1"/>
    </row>
    <row r="8" spans="1:4">
      <c r="A8" s="84" t="s">
        <v>95</v>
      </c>
      <c r="B8" s="85"/>
      <c r="C8" s="1"/>
      <c r="D8" s="1"/>
    </row>
    <row r="9" spans="1:4">
      <c r="A9" s="2" t="s">
        <v>0</v>
      </c>
      <c r="B9" s="3" t="str">
        <f>Cash30!B9</f>
        <v>Unit 1</v>
      </c>
      <c r="C9" s="1"/>
      <c r="D9" s="1"/>
    </row>
    <row r="10" spans="1:4">
      <c r="A10" s="2" t="s">
        <v>12</v>
      </c>
      <c r="B10" s="36" t="str">
        <f>VLOOKUP(B9,Price!A:D,4,FALSE)</f>
        <v xml:space="preserve">Townhouse </v>
      </c>
      <c r="C10" s="1"/>
      <c r="D10" s="1"/>
    </row>
    <row r="11" spans="1:4">
      <c r="A11" s="2" t="s">
        <v>19</v>
      </c>
      <c r="B11" s="36">
        <f>VLOOKUP(B9,Price!A:E,5,FALSE)</f>
        <v>52.28</v>
      </c>
      <c r="C11" s="1"/>
      <c r="D11" s="1"/>
    </row>
    <row r="12" spans="1:4">
      <c r="A12" s="2" t="s">
        <v>67</v>
      </c>
      <c r="B12" s="3">
        <f>VLOOKUP(B9,Price!A:F,6,FALSE)</f>
        <v>164.57</v>
      </c>
      <c r="C12" s="1"/>
      <c r="D12" s="1"/>
    </row>
    <row r="13" spans="1:4">
      <c r="A13" s="2" t="s">
        <v>68</v>
      </c>
      <c r="B13" s="3">
        <f>VLOOKUP(B9,Price!A:G,7,FALSE)</f>
        <v>5.51</v>
      </c>
      <c r="C13" s="1"/>
      <c r="D13" s="1"/>
    </row>
    <row r="14" spans="1:4">
      <c r="A14" s="2" t="s">
        <v>69</v>
      </c>
      <c r="B14" s="3">
        <f>VLOOKUP(B9,Price!A:H,8,FALSE)</f>
        <v>170.07999999999998</v>
      </c>
      <c r="C14" s="1"/>
      <c r="D14" s="1"/>
    </row>
    <row r="15" spans="1:4">
      <c r="A15" s="2" t="s">
        <v>43</v>
      </c>
      <c r="B15" s="45">
        <f>VLOOKUP(B9,Price!A:J,10,FALSE)</f>
        <v>9495000</v>
      </c>
      <c r="C15" s="1"/>
      <c r="D15" s="1"/>
    </row>
    <row r="16" spans="1:4">
      <c r="A16" s="2" t="s">
        <v>53</v>
      </c>
      <c r="B16" s="20">
        <f>(B15*50%)*5%</f>
        <v>237375</v>
      </c>
      <c r="C16" s="13"/>
      <c r="D16" s="1"/>
    </row>
    <row r="17" spans="1:5">
      <c r="A17" s="50" t="s">
        <v>21</v>
      </c>
      <c r="B17" s="52">
        <f>B15-B16</f>
        <v>9257625</v>
      </c>
      <c r="C17" s="1"/>
      <c r="D17" s="1"/>
    </row>
    <row r="18" spans="1:5">
      <c r="A18" s="2" t="s">
        <v>1</v>
      </c>
      <c r="B18" s="4">
        <f>B29</f>
        <v>294164.6782142857</v>
      </c>
      <c r="C18" s="1"/>
      <c r="D18" s="1"/>
    </row>
    <row r="19" spans="1:5">
      <c r="A19" s="1"/>
      <c r="B19" s="1"/>
      <c r="C19" s="1"/>
      <c r="D19" s="1"/>
    </row>
    <row r="20" spans="1:5">
      <c r="A20" s="86" t="s">
        <v>52</v>
      </c>
      <c r="B20" s="87"/>
      <c r="C20" s="87"/>
      <c r="D20" s="88"/>
    </row>
    <row r="21" spans="1:5">
      <c r="A21" s="5" t="s">
        <v>2</v>
      </c>
      <c r="B21" s="5" t="s">
        <v>3</v>
      </c>
      <c r="C21" s="80" t="s">
        <v>22</v>
      </c>
      <c r="D21" s="5" t="s">
        <v>23</v>
      </c>
    </row>
    <row r="22" spans="1:5">
      <c r="A22" s="46" t="s">
        <v>74</v>
      </c>
      <c r="B22" s="7">
        <v>50000</v>
      </c>
      <c r="C22" s="25"/>
      <c r="D22" s="8">
        <f>B22</f>
        <v>50000</v>
      </c>
      <c r="E22" s="1" t="s">
        <v>36</v>
      </c>
    </row>
    <row r="23" spans="1:5">
      <c r="A23" s="46" t="s">
        <v>80</v>
      </c>
      <c r="B23" s="8">
        <f>(B17*50%/1.12)-B22</f>
        <v>4082868.3035714282</v>
      </c>
      <c r="C23" s="26">
        <f>(B17*50%/1.12)*12%</f>
        <v>495944.19642857136</v>
      </c>
      <c r="D23" s="8">
        <f>(B17*50%)-B22</f>
        <v>4578812.5</v>
      </c>
      <c r="E23" s="1" t="s">
        <v>4</v>
      </c>
    </row>
    <row r="24" spans="1:5">
      <c r="A24" s="46"/>
      <c r="B24" s="8"/>
      <c r="C24" s="26">
        <f>B29</f>
        <v>294164.6782142857</v>
      </c>
      <c r="D24" s="8">
        <f>B29</f>
        <v>294164.6782142857</v>
      </c>
      <c r="E24" s="24" t="s">
        <v>6</v>
      </c>
    </row>
    <row r="25" spans="1:5">
      <c r="A25" s="47" t="s">
        <v>88</v>
      </c>
      <c r="B25" s="11">
        <f>D25/1.12</f>
        <v>4132868.3035714282</v>
      </c>
      <c r="C25" s="27">
        <f>B25*12%</f>
        <v>495944.19642857136</v>
      </c>
      <c r="D25" s="11">
        <f>B17*50%</f>
        <v>4628812.5</v>
      </c>
      <c r="E25" s="28" t="s">
        <v>34</v>
      </c>
    </row>
    <row r="26" spans="1:5">
      <c r="A26" s="12"/>
      <c r="B26" s="12"/>
      <c r="C26" s="1"/>
      <c r="D26" s="1"/>
    </row>
    <row r="27" spans="1:5">
      <c r="A27" s="1" t="s">
        <v>44</v>
      </c>
      <c r="B27" s="13">
        <f>B17/1.12*3%</f>
        <v>247972.09821428568</v>
      </c>
      <c r="C27" s="1" t="s">
        <v>45</v>
      </c>
      <c r="D27" s="1"/>
    </row>
    <row r="28" spans="1:5">
      <c r="A28" s="1" t="s">
        <v>102</v>
      </c>
      <c r="B28" s="41">
        <v>46192.58</v>
      </c>
      <c r="C28" s="1"/>
      <c r="D28" s="1"/>
    </row>
    <row r="29" spans="1:5">
      <c r="A29" s="1"/>
      <c r="B29" s="13">
        <f>SUM(B27:B28)</f>
        <v>294164.6782142857</v>
      </c>
    </row>
    <row r="30" spans="1:5">
      <c r="A30" s="1"/>
      <c r="B30" s="13"/>
    </row>
    <row r="31" spans="1:5">
      <c r="A31" s="1" t="s">
        <v>7</v>
      </c>
      <c r="B31" s="42"/>
      <c r="C31" s="42"/>
      <c r="D31" s="42"/>
      <c r="E31" s="42"/>
    </row>
    <row r="32" spans="1:5">
      <c r="A32" s="1" t="s">
        <v>57</v>
      </c>
      <c r="B32" s="14">
        <f>D25*0.04432</f>
        <v>205148.97</v>
      </c>
      <c r="C32" s="1" t="s">
        <v>60</v>
      </c>
      <c r="D32" s="14">
        <f>D25*0.0124</f>
        <v>57397.275000000001</v>
      </c>
      <c r="E32" s="42"/>
    </row>
    <row r="33" spans="1:5">
      <c r="A33" s="1" t="s">
        <v>58</v>
      </c>
      <c r="B33" s="14">
        <f>D25*0.03054</f>
        <v>141363.93375</v>
      </c>
      <c r="C33" s="1" t="s">
        <v>61</v>
      </c>
      <c r="D33" s="14">
        <f>D25*0.01168</f>
        <v>54064.53</v>
      </c>
      <c r="E33" s="42"/>
    </row>
    <row r="34" spans="1:5">
      <c r="A34" s="1" t="s">
        <v>59</v>
      </c>
      <c r="B34" s="14">
        <f>D25*0.0198</f>
        <v>91650.487500000003</v>
      </c>
      <c r="C34" s="1"/>
      <c r="D34" s="14"/>
      <c r="E34" s="42"/>
    </row>
    <row r="35" spans="1:5">
      <c r="A35" s="74" t="s">
        <v>55</v>
      </c>
      <c r="B35" s="14"/>
      <c r="C35" s="1"/>
      <c r="D35" s="14"/>
      <c r="E35" s="42"/>
    </row>
    <row r="36" spans="1:5">
      <c r="A36" s="73"/>
      <c r="B36" s="14"/>
      <c r="C36" s="1"/>
      <c r="D36" s="14"/>
    </row>
    <row r="37" spans="1:5">
      <c r="A37" s="15" t="s">
        <v>13</v>
      </c>
      <c r="B37" s="15"/>
      <c r="C37" s="15"/>
    </row>
    <row r="38" spans="1:5">
      <c r="A38" s="15" t="s">
        <v>8</v>
      </c>
      <c r="B38" s="15"/>
      <c r="C38" s="15"/>
    </row>
    <row r="39" spans="1:5">
      <c r="A39" s="15" t="s">
        <v>9</v>
      </c>
      <c r="B39" s="15"/>
      <c r="C39" s="15"/>
    </row>
    <row r="40" spans="1:5">
      <c r="A40" s="15" t="s">
        <v>10</v>
      </c>
      <c r="B40" s="15"/>
      <c r="C40" s="15"/>
    </row>
    <row r="41" spans="1:5">
      <c r="A41" s="15" t="s">
        <v>32</v>
      </c>
      <c r="B41" s="15"/>
      <c r="C41" s="15"/>
    </row>
    <row r="42" spans="1:5">
      <c r="A42" s="15" t="s">
        <v>33</v>
      </c>
      <c r="B42" s="15"/>
      <c r="C42" s="15"/>
    </row>
    <row r="44" spans="1:5">
      <c r="A44" s="16" t="s">
        <v>11</v>
      </c>
    </row>
    <row r="45" spans="1:5">
      <c r="A45" s="17"/>
    </row>
    <row r="46" spans="1:5">
      <c r="A46" s="17"/>
    </row>
    <row r="47" spans="1:5">
      <c r="A47" s="18"/>
      <c r="C47" s="29"/>
    </row>
    <row r="48" spans="1:5">
      <c r="A48" s="30" t="s">
        <v>24</v>
      </c>
      <c r="C48" s="19" t="s">
        <v>24</v>
      </c>
    </row>
    <row r="49" spans="1:1">
      <c r="A49" s="22"/>
    </row>
    <row r="50" spans="1:1">
      <c r="A50" s="21"/>
    </row>
    <row r="51" spans="1:1">
      <c r="A51" s="19"/>
    </row>
    <row r="53" spans="1:1">
      <c r="A53" s="29"/>
    </row>
    <row r="54" spans="1:1">
      <c r="A54" s="32" t="s">
        <v>25</v>
      </c>
    </row>
    <row r="55" spans="1:1">
      <c r="A55" s="31" t="s">
        <v>26</v>
      </c>
    </row>
    <row r="57" spans="1:1">
      <c r="A57" s="29"/>
    </row>
    <row r="58" spans="1:1">
      <c r="A58" s="32" t="s">
        <v>25</v>
      </c>
    </row>
    <row r="59" spans="1:1">
      <c r="A59" s="31" t="s">
        <v>26</v>
      </c>
    </row>
  </sheetData>
  <protectedRanges>
    <protectedRange sqref="A59" name="Range7_2"/>
    <protectedRange sqref="A57" name="Range6_2"/>
    <protectedRange sqref="A55" name="Range7_3"/>
    <protectedRange sqref="A53" name="Range6_3"/>
    <protectedRange sqref="C47" name="Range5_3"/>
    <protectedRange sqref="A47" name="Range4_3"/>
    <protectedRange sqref="E6" name="Range2_3"/>
    <protectedRange sqref="A6" name="Range1_3"/>
    <protectedRange sqref="A22:A23" name="Range3_1_1_1_1"/>
  </protectedRanges>
  <mergeCells count="2">
    <mergeCell ref="A8:B8"/>
    <mergeCell ref="A20:D20"/>
  </mergeCells>
  <pageMargins left="0.7" right="0.7" top="0.75" bottom="0.75" header="0.3" footer="0.3"/>
  <pageSetup scale="85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6:J69"/>
  <sheetViews>
    <sheetView topLeftCell="A3" workbookViewId="0">
      <selection activeCell="A31" sqref="A31"/>
    </sheetView>
  </sheetViews>
  <sheetFormatPr defaultRowHeight="12.75"/>
  <cols>
    <col min="1" max="1" width="28.5703125" customWidth="1"/>
    <col min="2" max="2" width="17.42578125" customWidth="1"/>
    <col min="3" max="3" width="22.85546875" customWidth="1"/>
    <col min="4" max="4" width="17" customWidth="1"/>
    <col min="5" max="5" width="20.28515625" customWidth="1"/>
    <col min="9" max="9" width="0.7109375" customWidth="1"/>
    <col min="10" max="10" width="9.140625" hidden="1" customWidth="1"/>
  </cols>
  <sheetData>
    <row r="6" spans="1:4">
      <c r="A6" s="1" t="s">
        <v>17</v>
      </c>
      <c r="B6" s="1"/>
      <c r="C6" s="1"/>
      <c r="D6" s="1" t="s">
        <v>20</v>
      </c>
    </row>
    <row r="7" spans="1:4">
      <c r="A7" s="1"/>
      <c r="B7" s="1"/>
      <c r="C7" s="1"/>
      <c r="D7" s="1"/>
    </row>
    <row r="8" spans="1:4">
      <c r="A8" s="84" t="s">
        <v>95</v>
      </c>
      <c r="B8" s="85"/>
      <c r="C8" s="1"/>
      <c r="D8" s="1"/>
    </row>
    <row r="9" spans="1:4">
      <c r="A9" s="2" t="s">
        <v>0</v>
      </c>
      <c r="B9" s="3" t="str">
        <f>Cash30!B9</f>
        <v>Unit 1</v>
      </c>
      <c r="C9" s="1"/>
      <c r="D9" s="1"/>
    </row>
    <row r="10" spans="1:4">
      <c r="A10" s="2" t="s">
        <v>12</v>
      </c>
      <c r="B10" s="36" t="str">
        <f>VLOOKUP(B9,Price!A:D,4,FALSE)</f>
        <v xml:space="preserve">Townhouse </v>
      </c>
      <c r="C10" s="1"/>
      <c r="D10" s="1"/>
    </row>
    <row r="11" spans="1:4">
      <c r="A11" s="2" t="s">
        <v>19</v>
      </c>
      <c r="B11" s="36">
        <f>VLOOKUP(B9,Price!A:E,5,FALSE)</f>
        <v>52.28</v>
      </c>
      <c r="C11" s="1"/>
      <c r="D11" s="1"/>
    </row>
    <row r="12" spans="1:4">
      <c r="A12" s="2" t="s">
        <v>67</v>
      </c>
      <c r="B12" s="3">
        <f>VLOOKUP(B9,Price!A:F,6,FALSE)</f>
        <v>164.57</v>
      </c>
      <c r="C12" s="1"/>
      <c r="D12" s="1"/>
    </row>
    <row r="13" spans="1:4">
      <c r="A13" s="2" t="s">
        <v>68</v>
      </c>
      <c r="B13" s="3">
        <f>VLOOKUP(B9,Price!A:G,7,FALSE)</f>
        <v>5.51</v>
      </c>
      <c r="C13" s="1"/>
      <c r="D13" s="1"/>
    </row>
    <row r="14" spans="1:4">
      <c r="A14" s="2" t="s">
        <v>69</v>
      </c>
      <c r="B14" s="3">
        <f>VLOOKUP(B9,Price!A:H,8,FALSE)</f>
        <v>170.07999999999998</v>
      </c>
      <c r="C14" s="1"/>
      <c r="D14" s="1"/>
    </row>
    <row r="15" spans="1:4">
      <c r="A15" s="2" t="s">
        <v>43</v>
      </c>
      <c r="B15" s="45">
        <f>VLOOKUP(B9,Price!A:J,10,FALSE)</f>
        <v>9495000</v>
      </c>
      <c r="C15" s="1"/>
      <c r="D15" s="1"/>
    </row>
    <row r="16" spans="1:4">
      <c r="A16" s="2" t="s">
        <v>53</v>
      </c>
      <c r="B16" s="20">
        <f>(B15*20%)*2%</f>
        <v>37980</v>
      </c>
      <c r="C16" s="13"/>
      <c r="D16" s="1"/>
    </row>
    <row r="17" spans="1:10">
      <c r="A17" s="50" t="s">
        <v>21</v>
      </c>
      <c r="B17" s="52">
        <f>B15-B16</f>
        <v>9457020</v>
      </c>
      <c r="C17" s="1"/>
      <c r="D17" s="1"/>
    </row>
    <row r="18" spans="1:10">
      <c r="A18" s="2" t="s">
        <v>1</v>
      </c>
      <c r="B18" s="4">
        <f>B34</f>
        <v>299505.6157142857</v>
      </c>
      <c r="C18" s="1"/>
      <c r="D18" s="1"/>
    </row>
    <row r="19" spans="1:10">
      <c r="A19" s="1"/>
      <c r="B19" s="1"/>
      <c r="C19" s="1"/>
      <c r="D19" s="1"/>
    </row>
    <row r="20" spans="1:10">
      <c r="A20" s="86" t="s">
        <v>83</v>
      </c>
      <c r="B20" s="87"/>
      <c r="C20" s="87"/>
      <c r="D20" s="88"/>
    </row>
    <row r="21" spans="1:10">
      <c r="A21" s="5" t="s">
        <v>2</v>
      </c>
      <c r="B21" s="5" t="s">
        <v>3</v>
      </c>
      <c r="C21" s="80" t="s">
        <v>22</v>
      </c>
      <c r="D21" s="5" t="s">
        <v>23</v>
      </c>
    </row>
    <row r="22" spans="1:10">
      <c r="A22" s="46" t="s">
        <v>74</v>
      </c>
      <c r="B22" s="7">
        <v>50000</v>
      </c>
      <c r="C22" s="25"/>
      <c r="D22" s="8">
        <f>B22</f>
        <v>50000</v>
      </c>
      <c r="E22" s="1" t="s">
        <v>36</v>
      </c>
    </row>
    <row r="23" spans="1:10">
      <c r="A23" s="46" t="s">
        <v>80</v>
      </c>
      <c r="B23" s="8">
        <f>D23/1.12</f>
        <v>274018.45238095237</v>
      </c>
      <c r="C23" s="26">
        <f>B23*12%</f>
        <v>32882.214285714283</v>
      </c>
      <c r="D23" s="8">
        <f>J23/6</f>
        <v>306900.66666666669</v>
      </c>
      <c r="E23" s="1" t="s">
        <v>4</v>
      </c>
      <c r="J23">
        <f>B17*20%-D22</f>
        <v>1841404</v>
      </c>
    </row>
    <row r="24" spans="1:10">
      <c r="A24" s="46" t="s">
        <v>75</v>
      </c>
      <c r="B24" s="8">
        <f t="shared" ref="B24:D28" si="0">B23</f>
        <v>274018.45238095237</v>
      </c>
      <c r="C24" s="26">
        <f t="shared" si="0"/>
        <v>32882.214285714283</v>
      </c>
      <c r="D24" s="8">
        <f t="shared" si="0"/>
        <v>306900.66666666669</v>
      </c>
      <c r="E24" s="1"/>
    </row>
    <row r="25" spans="1:10">
      <c r="A25" s="46" t="s">
        <v>81</v>
      </c>
      <c r="B25" s="8">
        <f t="shared" si="0"/>
        <v>274018.45238095237</v>
      </c>
      <c r="C25" s="26">
        <f t="shared" si="0"/>
        <v>32882.214285714283</v>
      </c>
      <c r="D25" s="8">
        <f t="shared" si="0"/>
        <v>306900.66666666669</v>
      </c>
      <c r="E25" s="1"/>
    </row>
    <row r="26" spans="1:10">
      <c r="A26" s="46" t="s">
        <v>86</v>
      </c>
      <c r="B26" s="8">
        <f t="shared" si="0"/>
        <v>274018.45238095237</v>
      </c>
      <c r="C26" s="26">
        <f t="shared" si="0"/>
        <v>32882.214285714283</v>
      </c>
      <c r="D26" s="8">
        <f t="shared" si="0"/>
        <v>306900.66666666669</v>
      </c>
      <c r="E26" s="1"/>
    </row>
    <row r="27" spans="1:10">
      <c r="A27" s="46" t="s">
        <v>105</v>
      </c>
      <c r="B27" s="8">
        <f t="shared" si="0"/>
        <v>274018.45238095237</v>
      </c>
      <c r="C27" s="26">
        <f t="shared" si="0"/>
        <v>32882.214285714283</v>
      </c>
      <c r="D27" s="8">
        <f t="shared" si="0"/>
        <v>306900.66666666669</v>
      </c>
      <c r="E27" s="1"/>
    </row>
    <row r="28" spans="1:10">
      <c r="A28" s="46" t="s">
        <v>87</v>
      </c>
      <c r="B28" s="8">
        <f t="shared" si="0"/>
        <v>274018.45238095237</v>
      </c>
      <c r="C28" s="26">
        <f t="shared" si="0"/>
        <v>32882.214285714283</v>
      </c>
      <c r="D28" s="8">
        <f t="shared" si="0"/>
        <v>306900.66666666669</v>
      </c>
      <c r="E28" s="1"/>
    </row>
    <row r="29" spans="1:10">
      <c r="A29" s="46"/>
      <c r="B29" s="8"/>
      <c r="C29" s="26">
        <f>B34</f>
        <v>299505.6157142857</v>
      </c>
      <c r="D29" s="8">
        <f>B34</f>
        <v>299505.6157142857</v>
      </c>
      <c r="E29" s="24" t="s">
        <v>6</v>
      </c>
    </row>
    <row r="30" spans="1:10">
      <c r="A30" s="47" t="s">
        <v>89</v>
      </c>
      <c r="B30" s="11">
        <f>D30/1.12</f>
        <v>6755014.2857142854</v>
      </c>
      <c r="C30" s="27">
        <f>B30*12%</f>
        <v>810601.7142857142</v>
      </c>
      <c r="D30" s="11">
        <f>B17*80%</f>
        <v>7565616</v>
      </c>
      <c r="E30" s="28" t="s">
        <v>34</v>
      </c>
    </row>
    <row r="31" spans="1:10">
      <c r="A31" s="12"/>
      <c r="B31" s="12"/>
      <c r="C31" s="1"/>
      <c r="D31" s="1"/>
    </row>
    <row r="32" spans="1:10">
      <c r="A32" s="1" t="s">
        <v>44</v>
      </c>
      <c r="B32" s="13">
        <f>B17/1.12*3%</f>
        <v>253313.03571428568</v>
      </c>
      <c r="C32" s="1" t="s">
        <v>45</v>
      </c>
      <c r="D32" s="1"/>
      <c r="I32" t="e">
        <f>(B21*20%/1.12)</f>
        <v>#VALUE!</v>
      </c>
    </row>
    <row r="33" spans="1:5">
      <c r="A33" s="1" t="s">
        <v>102</v>
      </c>
      <c r="B33" s="41">
        <v>46192.58</v>
      </c>
      <c r="C33" s="1"/>
      <c r="D33" s="1"/>
    </row>
    <row r="34" spans="1:5">
      <c r="A34" s="1"/>
      <c r="B34" s="13">
        <f>SUM(B32:B33)</f>
        <v>299505.6157142857</v>
      </c>
    </row>
    <row r="35" spans="1:5">
      <c r="A35" s="1"/>
      <c r="B35" s="13"/>
    </row>
    <row r="36" spans="1:5">
      <c r="A36" s="1" t="s">
        <v>7</v>
      </c>
      <c r="B36" s="42"/>
      <c r="C36" s="42"/>
      <c r="D36" s="42"/>
      <c r="E36" s="42"/>
    </row>
    <row r="37" spans="1:5">
      <c r="A37" s="1" t="s">
        <v>57</v>
      </c>
      <c r="B37" s="14">
        <f>D30*0.04432</f>
        <v>335308.10112000001</v>
      </c>
      <c r="C37" s="1" t="s">
        <v>60</v>
      </c>
      <c r="D37" s="14">
        <f>D30*0.0124</f>
        <v>93813.638399999996</v>
      </c>
      <c r="E37" s="42"/>
    </row>
    <row r="38" spans="1:5">
      <c r="A38" s="1" t="s">
        <v>58</v>
      </c>
      <c r="B38" s="14">
        <f>D30*0.03054</f>
        <v>231053.91264</v>
      </c>
      <c r="C38" s="1" t="s">
        <v>61</v>
      </c>
      <c r="D38" s="14">
        <f>D30*0.01168</f>
        <v>88366.394879999993</v>
      </c>
      <c r="E38" s="42"/>
    </row>
    <row r="39" spans="1:5">
      <c r="A39" s="1" t="s">
        <v>59</v>
      </c>
      <c r="B39" s="14">
        <f>D30*0.0198</f>
        <v>149799.19680000001</v>
      </c>
      <c r="C39" s="1"/>
      <c r="D39" s="14"/>
      <c r="E39" s="42"/>
    </row>
    <row r="40" spans="1:5">
      <c r="A40" s="74" t="s">
        <v>55</v>
      </c>
      <c r="B40" s="14"/>
      <c r="C40" s="1"/>
      <c r="D40" s="14"/>
      <c r="E40" s="42"/>
    </row>
    <row r="41" spans="1:5">
      <c r="A41" s="73"/>
      <c r="B41" s="14"/>
      <c r="C41" s="1"/>
      <c r="D41" s="14"/>
    </row>
    <row r="42" spans="1:5">
      <c r="A42" s="15" t="s">
        <v>13</v>
      </c>
      <c r="B42" s="15"/>
      <c r="C42" s="15"/>
    </row>
    <row r="43" spans="1:5">
      <c r="A43" s="15" t="s">
        <v>8</v>
      </c>
      <c r="B43" s="15"/>
      <c r="C43" s="15"/>
    </row>
    <row r="44" spans="1:5">
      <c r="A44" s="15" t="s">
        <v>9</v>
      </c>
      <c r="B44" s="15"/>
      <c r="C44" s="15"/>
    </row>
    <row r="45" spans="1:5">
      <c r="A45" s="15" t="s">
        <v>10</v>
      </c>
      <c r="B45" s="15"/>
      <c r="C45" s="15"/>
    </row>
    <row r="46" spans="1:5">
      <c r="A46" s="15" t="s">
        <v>32</v>
      </c>
      <c r="B46" s="15"/>
      <c r="C46" s="15"/>
    </row>
    <row r="47" spans="1:5">
      <c r="A47" s="15" t="s">
        <v>33</v>
      </c>
      <c r="B47" s="15"/>
      <c r="C47" s="15"/>
    </row>
    <row r="49" spans="1:3">
      <c r="A49" s="16" t="s">
        <v>11</v>
      </c>
    </row>
    <row r="50" spans="1:3">
      <c r="A50" s="17"/>
    </row>
    <row r="51" spans="1:3">
      <c r="A51" s="17"/>
    </row>
    <row r="52" spans="1:3">
      <c r="A52" s="18"/>
      <c r="C52" s="29"/>
    </row>
    <row r="53" spans="1:3">
      <c r="A53" s="30" t="s">
        <v>24</v>
      </c>
      <c r="C53" s="19" t="s">
        <v>24</v>
      </c>
    </row>
    <row r="54" spans="1:3">
      <c r="A54" s="22"/>
    </row>
    <row r="55" spans="1:3">
      <c r="A55" s="21"/>
    </row>
    <row r="56" spans="1:3">
      <c r="A56" s="19"/>
    </row>
    <row r="58" spans="1:3">
      <c r="A58" s="29"/>
    </row>
    <row r="59" spans="1:3">
      <c r="A59" s="32" t="s">
        <v>25</v>
      </c>
    </row>
    <row r="60" spans="1:3">
      <c r="A60" s="31" t="s">
        <v>26</v>
      </c>
    </row>
    <row r="61" spans="1:3">
      <c r="A61" s="18"/>
      <c r="C61" s="29"/>
    </row>
    <row r="62" spans="1:3">
      <c r="A62" s="30" t="s">
        <v>24</v>
      </c>
      <c r="C62" s="19" t="s">
        <v>24</v>
      </c>
    </row>
    <row r="63" spans="1:3">
      <c r="A63" s="22"/>
    </row>
    <row r="64" spans="1:3">
      <c r="A64" s="21"/>
    </row>
    <row r="65" spans="1:1">
      <c r="A65" s="19"/>
    </row>
    <row r="67" spans="1:1">
      <c r="A67" s="29"/>
    </row>
    <row r="68" spans="1:1">
      <c r="A68" s="32" t="s">
        <v>25</v>
      </c>
    </row>
    <row r="69" spans="1:1">
      <c r="A69" s="31" t="s">
        <v>26</v>
      </c>
    </row>
  </sheetData>
  <protectedRanges>
    <protectedRange sqref="A69" name="Range7_1"/>
    <protectedRange sqref="A67" name="Range6_1"/>
    <protectedRange sqref="C61" name="Range5_1"/>
    <protectedRange sqref="A61" name="Range4_1"/>
    <protectedRange sqref="A60" name="Range7"/>
    <protectedRange sqref="A58" name="Range6"/>
    <protectedRange sqref="C52" name="Range5"/>
    <protectedRange sqref="A52" name="Range4"/>
    <protectedRange sqref="E6" name="Range2"/>
    <protectedRange sqref="A6" name="Range1"/>
    <protectedRange sqref="A22:A28" name="Range3_1"/>
  </protectedRanges>
  <mergeCells count="2">
    <mergeCell ref="A8:B8"/>
    <mergeCell ref="A20:D20"/>
  </mergeCells>
  <pageMargins left="0.7" right="0.7" top="0.75" bottom="0.75" header="0.3" footer="0.3"/>
  <pageSetup paperSize="5" scale="85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/>
  <dimension ref="A6:J64"/>
  <sheetViews>
    <sheetView topLeftCell="A11" workbookViewId="0">
      <selection activeCell="A20" sqref="A20:A34"/>
    </sheetView>
  </sheetViews>
  <sheetFormatPr defaultRowHeight="12.75"/>
  <cols>
    <col min="1" max="1" width="28.140625" customWidth="1"/>
    <col min="2" max="2" width="17.42578125" customWidth="1"/>
    <col min="3" max="3" width="22.85546875" customWidth="1"/>
    <col min="4" max="4" width="17" customWidth="1"/>
    <col min="6" max="6" width="10.85546875" customWidth="1"/>
    <col min="8" max="8" width="11.7109375" bestFit="1" customWidth="1"/>
    <col min="9" max="9" width="11.7109375" customWidth="1"/>
    <col min="10" max="10" width="0.42578125" customWidth="1"/>
  </cols>
  <sheetData>
    <row r="6" spans="1:4">
      <c r="A6" s="1" t="s">
        <v>17</v>
      </c>
      <c r="B6" s="1"/>
      <c r="C6" s="1"/>
      <c r="D6" s="1" t="s">
        <v>20</v>
      </c>
    </row>
    <row r="7" spans="1:4">
      <c r="A7" s="1"/>
      <c r="B7" s="1"/>
      <c r="C7" s="1"/>
      <c r="D7" s="1"/>
    </row>
    <row r="8" spans="1:4">
      <c r="A8" s="84" t="s">
        <v>95</v>
      </c>
      <c r="B8" s="85"/>
      <c r="C8" s="1"/>
      <c r="D8" s="1"/>
    </row>
    <row r="9" spans="1:4">
      <c r="A9" s="2" t="s">
        <v>0</v>
      </c>
      <c r="B9" s="3" t="str">
        <f>Cash30!B9</f>
        <v>Unit 1</v>
      </c>
      <c r="C9" s="1"/>
      <c r="D9" s="1"/>
    </row>
    <row r="10" spans="1:4">
      <c r="A10" s="2" t="s">
        <v>12</v>
      </c>
      <c r="B10" s="36" t="str">
        <f>VLOOKUP(B9,Price!A:D,4,FALSE)</f>
        <v xml:space="preserve">Townhouse </v>
      </c>
      <c r="C10" s="1"/>
      <c r="D10" s="1"/>
    </row>
    <row r="11" spans="1:4">
      <c r="A11" s="2" t="s">
        <v>19</v>
      </c>
      <c r="B11" s="36">
        <f>VLOOKUP(B9,Price!A:E,5,FALSE)</f>
        <v>52.28</v>
      </c>
      <c r="C11" s="1"/>
      <c r="D11" s="1"/>
    </row>
    <row r="12" spans="1:4">
      <c r="A12" s="2" t="s">
        <v>67</v>
      </c>
      <c r="B12" s="3">
        <f>VLOOKUP(B9,Price!A:F,6,FALSE)</f>
        <v>164.57</v>
      </c>
      <c r="C12" s="1"/>
      <c r="D12" s="1"/>
    </row>
    <row r="13" spans="1:4">
      <c r="A13" s="2" t="s">
        <v>68</v>
      </c>
      <c r="B13" s="3">
        <f>VLOOKUP(B9,Price!A:G,7,FALSE)</f>
        <v>5.51</v>
      </c>
      <c r="C13" s="1"/>
      <c r="D13" s="1"/>
    </row>
    <row r="14" spans="1:4">
      <c r="A14" s="2" t="s">
        <v>69</v>
      </c>
      <c r="B14" s="3">
        <f>VLOOKUP(B9,Price!A:H,8,FALSE)</f>
        <v>170.07999999999998</v>
      </c>
      <c r="C14" s="13"/>
      <c r="D14" s="1"/>
    </row>
    <row r="15" spans="1:4">
      <c r="A15" s="2" t="s">
        <v>43</v>
      </c>
      <c r="B15" s="45">
        <f>VLOOKUP(B9,Price!A:J,10,FALSE)</f>
        <v>9495000</v>
      </c>
      <c r="C15" s="1"/>
      <c r="D15" s="1"/>
    </row>
    <row r="16" spans="1:4">
      <c r="A16" s="2" t="s">
        <v>1</v>
      </c>
      <c r="B16" s="4">
        <f>B38</f>
        <v>300522.93714285712</v>
      </c>
      <c r="C16" s="1"/>
      <c r="D16" s="1"/>
    </row>
    <row r="17" spans="1:10">
      <c r="A17" s="1"/>
      <c r="B17" s="1"/>
      <c r="C17" s="1"/>
      <c r="D17" s="1"/>
    </row>
    <row r="18" spans="1:10">
      <c r="A18" s="86" t="s">
        <v>41</v>
      </c>
      <c r="B18" s="87"/>
      <c r="C18" s="87"/>
      <c r="D18" s="88"/>
    </row>
    <row r="19" spans="1:10">
      <c r="A19" s="5" t="s">
        <v>2</v>
      </c>
      <c r="B19" s="5" t="s">
        <v>3</v>
      </c>
      <c r="C19" s="23" t="s">
        <v>22</v>
      </c>
      <c r="D19" s="5" t="s">
        <v>23</v>
      </c>
    </row>
    <row r="20" spans="1:10">
      <c r="A20" s="46" t="s">
        <v>74</v>
      </c>
      <c r="B20" s="7">
        <v>50000</v>
      </c>
      <c r="C20" s="25"/>
      <c r="D20" s="8">
        <f>B20</f>
        <v>50000</v>
      </c>
      <c r="E20" s="1" t="s">
        <v>36</v>
      </c>
      <c r="J20" s="9"/>
    </row>
    <row r="21" spans="1:10">
      <c r="A21" s="46" t="s">
        <v>80</v>
      </c>
      <c r="B21" s="8">
        <f>J22/12</f>
        <v>137127.97619047618</v>
      </c>
      <c r="C21" s="26">
        <f>(B15*20%)/1.12*12%/12</f>
        <v>16955.357142857141</v>
      </c>
      <c r="D21" s="8">
        <f>(B15*20%-B20)/12</f>
        <v>154083.33333333334</v>
      </c>
      <c r="E21" s="1" t="s">
        <v>4</v>
      </c>
      <c r="I21" s="9"/>
      <c r="J21">
        <f>B15*20%/1.12</f>
        <v>1695535.7142857141</v>
      </c>
    </row>
    <row r="22" spans="1:10">
      <c r="A22" s="46" t="s">
        <v>75</v>
      </c>
      <c r="B22" s="8">
        <f t="shared" ref="B22:D23" si="0">B21</f>
        <v>137127.97619047618</v>
      </c>
      <c r="C22" s="26">
        <f t="shared" si="0"/>
        <v>16955.357142857141</v>
      </c>
      <c r="D22" s="8">
        <f t="shared" si="0"/>
        <v>154083.33333333334</v>
      </c>
      <c r="E22" s="1" t="s">
        <v>5</v>
      </c>
      <c r="H22" s="9"/>
      <c r="I22" s="9"/>
      <c r="J22">
        <f>J21-50000</f>
        <v>1645535.7142857141</v>
      </c>
    </row>
    <row r="23" spans="1:10">
      <c r="A23" s="46" t="s">
        <v>81</v>
      </c>
      <c r="B23" s="8">
        <f t="shared" si="0"/>
        <v>137127.97619047618</v>
      </c>
      <c r="C23" s="8">
        <f t="shared" si="0"/>
        <v>16955.357142857141</v>
      </c>
      <c r="D23" s="8">
        <f t="shared" si="0"/>
        <v>154083.33333333334</v>
      </c>
    </row>
    <row r="24" spans="1:10">
      <c r="A24" s="46" t="s">
        <v>86</v>
      </c>
      <c r="B24" s="8">
        <f>B23</f>
        <v>137127.97619047618</v>
      </c>
      <c r="C24" s="8">
        <f>C22</f>
        <v>16955.357142857141</v>
      </c>
      <c r="D24" s="8">
        <f t="shared" ref="D24:D32" si="1">D23</f>
        <v>154083.33333333334</v>
      </c>
    </row>
    <row r="25" spans="1:10">
      <c r="A25" s="46" t="s">
        <v>88</v>
      </c>
      <c r="B25" s="8">
        <f>B24</f>
        <v>137127.97619047618</v>
      </c>
      <c r="C25" s="8">
        <f>C22</f>
        <v>16955.357142857141</v>
      </c>
      <c r="D25" s="8">
        <f t="shared" si="1"/>
        <v>154083.33333333334</v>
      </c>
    </row>
    <row r="26" spans="1:10">
      <c r="A26" s="46" t="s">
        <v>87</v>
      </c>
      <c r="B26" s="8">
        <f>B25</f>
        <v>137127.97619047618</v>
      </c>
      <c r="C26" s="8">
        <f>C22</f>
        <v>16955.357142857141</v>
      </c>
      <c r="D26" s="8">
        <f t="shared" si="1"/>
        <v>154083.33333333334</v>
      </c>
    </row>
    <row r="27" spans="1:10">
      <c r="A27" s="46" t="s">
        <v>89</v>
      </c>
      <c r="B27" s="8">
        <f t="shared" ref="B27:B32" si="2">B25</f>
        <v>137127.97619047618</v>
      </c>
      <c r="C27" s="8">
        <f t="shared" ref="C27:C32" si="3">C23</f>
        <v>16955.357142857141</v>
      </c>
      <c r="D27" s="8">
        <f t="shared" si="1"/>
        <v>154083.33333333334</v>
      </c>
    </row>
    <row r="28" spans="1:10">
      <c r="A28" s="46" t="s">
        <v>90</v>
      </c>
      <c r="B28" s="8">
        <f t="shared" si="2"/>
        <v>137127.97619047618</v>
      </c>
      <c r="C28" s="8">
        <f t="shared" si="3"/>
        <v>16955.357142857141</v>
      </c>
      <c r="D28" s="8">
        <f t="shared" si="1"/>
        <v>154083.33333333334</v>
      </c>
    </row>
    <row r="29" spans="1:10">
      <c r="A29" s="46" t="s">
        <v>91</v>
      </c>
      <c r="B29" s="8">
        <f t="shared" si="2"/>
        <v>137127.97619047618</v>
      </c>
      <c r="C29" s="8">
        <f t="shared" si="3"/>
        <v>16955.357142857141</v>
      </c>
      <c r="D29" s="8">
        <f t="shared" si="1"/>
        <v>154083.33333333334</v>
      </c>
    </row>
    <row r="30" spans="1:10">
      <c r="A30" s="46" t="s">
        <v>92</v>
      </c>
      <c r="B30" s="8">
        <f t="shared" si="2"/>
        <v>137127.97619047618</v>
      </c>
      <c r="C30" s="8">
        <f t="shared" si="3"/>
        <v>16955.357142857141</v>
      </c>
      <c r="D30" s="8">
        <f t="shared" si="1"/>
        <v>154083.33333333334</v>
      </c>
    </row>
    <row r="31" spans="1:10">
      <c r="A31" s="46" t="s">
        <v>93</v>
      </c>
      <c r="B31" s="8">
        <f t="shared" si="2"/>
        <v>137127.97619047618</v>
      </c>
      <c r="C31" s="8">
        <f t="shared" si="3"/>
        <v>16955.357142857141</v>
      </c>
      <c r="D31" s="8">
        <f t="shared" si="1"/>
        <v>154083.33333333334</v>
      </c>
    </row>
    <row r="32" spans="1:10">
      <c r="A32" s="46" t="s">
        <v>103</v>
      </c>
      <c r="B32" s="8">
        <f t="shared" si="2"/>
        <v>137127.97619047618</v>
      </c>
      <c r="C32" s="8">
        <f t="shared" si="3"/>
        <v>16955.357142857141</v>
      </c>
      <c r="D32" s="8">
        <f t="shared" si="1"/>
        <v>154083.33333333334</v>
      </c>
    </row>
    <row r="33" spans="1:5">
      <c r="A33" s="46"/>
      <c r="B33" s="8"/>
      <c r="C33" s="26">
        <f>B38</f>
        <v>300522.93714285712</v>
      </c>
      <c r="D33" s="8">
        <f>B38</f>
        <v>300522.93714285712</v>
      </c>
      <c r="E33" s="24" t="s">
        <v>6</v>
      </c>
    </row>
    <row r="34" spans="1:5">
      <c r="A34" s="47" t="s">
        <v>94</v>
      </c>
      <c r="B34" s="11">
        <f>D34/1.12</f>
        <v>6782142.8571428563</v>
      </c>
      <c r="C34" s="27">
        <f>B34*12%</f>
        <v>813857.14285714272</v>
      </c>
      <c r="D34" s="11">
        <f>B15*80%</f>
        <v>7596000</v>
      </c>
      <c r="E34" s="28" t="s">
        <v>34</v>
      </c>
    </row>
    <row r="35" spans="1:5">
      <c r="A35" s="12"/>
      <c r="B35" s="12"/>
      <c r="C35" s="1"/>
      <c r="D35" s="1"/>
    </row>
    <row r="36" spans="1:5">
      <c r="A36" s="1" t="s">
        <v>44</v>
      </c>
      <c r="B36" s="13">
        <f>B15/1.12*3%</f>
        <v>254330.35714285713</v>
      </c>
      <c r="C36" s="1" t="s">
        <v>45</v>
      </c>
      <c r="D36" s="1"/>
    </row>
    <row r="37" spans="1:5">
      <c r="A37" s="1" t="s">
        <v>102</v>
      </c>
      <c r="B37" s="41">
        <v>46192.58</v>
      </c>
      <c r="C37" s="1"/>
      <c r="D37" s="1"/>
    </row>
    <row r="38" spans="1:5">
      <c r="A38" s="1"/>
      <c r="B38" s="13">
        <f>SUM(B36:B37)</f>
        <v>300522.93714285712</v>
      </c>
    </row>
    <row r="39" spans="1:5">
      <c r="A39" s="1"/>
      <c r="B39" s="13"/>
    </row>
    <row r="40" spans="1:5">
      <c r="A40" s="1" t="s">
        <v>7</v>
      </c>
    </row>
    <row r="41" spans="1:5">
      <c r="A41" s="1" t="s">
        <v>57</v>
      </c>
      <c r="B41" s="14">
        <f>D34*0.04432</f>
        <v>336654.72</v>
      </c>
      <c r="C41" s="1" t="s">
        <v>60</v>
      </c>
      <c r="D41" s="14">
        <f>D34*0.0124</f>
        <v>94190.399999999994</v>
      </c>
    </row>
    <row r="42" spans="1:5">
      <c r="A42" s="1" t="s">
        <v>58</v>
      </c>
      <c r="B42" s="14">
        <f>D34*0.03054</f>
        <v>231981.84</v>
      </c>
      <c r="C42" s="1" t="s">
        <v>61</v>
      </c>
      <c r="D42" s="14">
        <f>D34*0.01168</f>
        <v>88721.279999999999</v>
      </c>
    </row>
    <row r="43" spans="1:5">
      <c r="A43" s="1" t="s">
        <v>59</v>
      </c>
      <c r="B43" s="14">
        <f>D34*0.0198</f>
        <v>150400.80000000002</v>
      </c>
      <c r="C43" s="1"/>
      <c r="D43" s="14"/>
    </row>
    <row r="44" spans="1:5" ht="14.25">
      <c r="A44" s="74" t="s">
        <v>55</v>
      </c>
      <c r="B44" s="75"/>
      <c r="C44" s="72"/>
      <c r="D44" s="75"/>
    </row>
    <row r="46" spans="1:5">
      <c r="A46" s="15" t="s">
        <v>13</v>
      </c>
      <c r="B46" s="15"/>
      <c r="C46" s="15"/>
    </row>
    <row r="47" spans="1:5">
      <c r="A47" s="15" t="s">
        <v>8</v>
      </c>
      <c r="B47" s="15"/>
      <c r="C47" s="15"/>
    </row>
    <row r="48" spans="1:5">
      <c r="A48" s="15" t="s">
        <v>9</v>
      </c>
      <c r="B48" s="15"/>
      <c r="C48" s="15"/>
    </row>
    <row r="49" spans="1:3">
      <c r="A49" s="15" t="s">
        <v>10</v>
      </c>
      <c r="B49" s="15"/>
      <c r="C49" s="15"/>
    </row>
    <row r="50" spans="1:3">
      <c r="A50" s="15" t="s">
        <v>32</v>
      </c>
      <c r="B50" s="15"/>
      <c r="C50" s="15"/>
    </row>
    <row r="51" spans="1:3">
      <c r="A51" s="15" t="s">
        <v>33</v>
      </c>
      <c r="B51" s="15"/>
      <c r="C51" s="15"/>
    </row>
    <row r="53" spans="1:3">
      <c r="A53" s="16" t="s">
        <v>11</v>
      </c>
    </row>
    <row r="54" spans="1:3">
      <c r="A54" s="17"/>
    </row>
    <row r="55" spans="1:3">
      <c r="A55" s="17"/>
    </row>
    <row r="56" spans="1:3">
      <c r="A56" s="18"/>
      <c r="C56" s="29"/>
    </row>
    <row r="57" spans="1:3">
      <c r="A57" s="30" t="s">
        <v>24</v>
      </c>
      <c r="C57" s="19" t="s">
        <v>24</v>
      </c>
    </row>
    <row r="58" spans="1:3">
      <c r="A58" s="22"/>
    </row>
    <row r="59" spans="1:3">
      <c r="A59" s="21"/>
    </row>
    <row r="60" spans="1:3">
      <c r="A60" s="19"/>
    </row>
    <row r="62" spans="1:3">
      <c r="A62" s="29"/>
    </row>
    <row r="63" spans="1:3">
      <c r="A63" s="32" t="s">
        <v>25</v>
      </c>
    </row>
    <row r="64" spans="1:3">
      <c r="A64" s="31" t="s">
        <v>26</v>
      </c>
    </row>
  </sheetData>
  <protectedRanges>
    <protectedRange sqref="A64" name="Range8"/>
    <protectedRange sqref="A62" name="Range7"/>
    <protectedRange sqref="C56" name="Range6"/>
    <protectedRange sqref="A56" name="Range5"/>
    <protectedRange sqref="E6" name="Range2"/>
    <protectedRange sqref="A6" name="Range1"/>
    <protectedRange sqref="A34" name="Range4_4_2"/>
  </protectedRanges>
  <mergeCells count="2">
    <mergeCell ref="A8:B8"/>
    <mergeCell ref="A18:D18"/>
  </mergeCells>
  <phoneticPr fontId="9" type="noConversion"/>
  <pageMargins left="0.75" right="0.25" top="0.73" bottom="0.77" header="0.5" footer="0.55000000000000004"/>
  <pageSetup paperSize="5" scale="90" orientation="portrait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6:E67"/>
  <sheetViews>
    <sheetView topLeftCell="A9" workbookViewId="0">
      <selection activeCell="A20" sqref="A20:A37"/>
    </sheetView>
  </sheetViews>
  <sheetFormatPr defaultRowHeight="12.75"/>
  <cols>
    <col min="1" max="1" width="28.140625" customWidth="1"/>
    <col min="2" max="2" width="17.42578125" customWidth="1"/>
    <col min="3" max="3" width="22.85546875" customWidth="1"/>
    <col min="4" max="4" width="17" customWidth="1"/>
    <col min="6" max="6" width="10.85546875" customWidth="1"/>
  </cols>
  <sheetData>
    <row r="6" spans="1:4">
      <c r="A6" s="1" t="s">
        <v>17</v>
      </c>
      <c r="B6" s="1"/>
      <c r="C6" s="1"/>
      <c r="D6" s="1" t="s">
        <v>20</v>
      </c>
    </row>
    <row r="7" spans="1:4">
      <c r="A7" s="1"/>
      <c r="B7" s="1"/>
      <c r="C7" s="1"/>
      <c r="D7" s="1"/>
    </row>
    <row r="8" spans="1:4">
      <c r="A8" s="84" t="s">
        <v>95</v>
      </c>
      <c r="B8" s="85"/>
      <c r="C8" s="1"/>
      <c r="D8" s="1"/>
    </row>
    <row r="9" spans="1:4">
      <c r="A9" s="2" t="s">
        <v>0</v>
      </c>
      <c r="B9" s="3" t="str">
        <f>Cash30!B9</f>
        <v>Unit 1</v>
      </c>
      <c r="C9" s="1"/>
      <c r="D9" s="1"/>
    </row>
    <row r="10" spans="1:4">
      <c r="A10" s="2" t="s">
        <v>12</v>
      </c>
      <c r="B10" s="36" t="str">
        <f>VLOOKUP(B9,Price!A:D,4,FALSE)</f>
        <v xml:space="preserve">Townhouse </v>
      </c>
      <c r="C10" s="1"/>
      <c r="D10" s="1"/>
    </row>
    <row r="11" spans="1:4">
      <c r="A11" s="2" t="s">
        <v>19</v>
      </c>
      <c r="B11" s="36">
        <f>VLOOKUP(B9,Price!A:E,5,FALSE)</f>
        <v>52.28</v>
      </c>
      <c r="C11" s="1"/>
      <c r="D11" s="1"/>
    </row>
    <row r="12" spans="1:4">
      <c r="A12" s="2" t="s">
        <v>67</v>
      </c>
      <c r="B12" s="3">
        <f>VLOOKUP(B9,Price!A:F,6,FALSE)</f>
        <v>164.57</v>
      </c>
      <c r="C12" s="1"/>
      <c r="D12" s="1"/>
    </row>
    <row r="13" spans="1:4">
      <c r="A13" s="2" t="s">
        <v>68</v>
      </c>
      <c r="B13" s="3">
        <f>VLOOKUP(B9,Price!A:G,7,FALSE)</f>
        <v>5.51</v>
      </c>
      <c r="C13" s="1"/>
      <c r="D13" s="1"/>
    </row>
    <row r="14" spans="1:4">
      <c r="A14" s="2" t="s">
        <v>69</v>
      </c>
      <c r="B14" s="3">
        <f>VLOOKUP(B9,Price!A:H,8,FALSE)</f>
        <v>170.07999999999998</v>
      </c>
      <c r="C14" s="13"/>
      <c r="D14" s="1"/>
    </row>
    <row r="15" spans="1:4">
      <c r="A15" s="2" t="s">
        <v>43</v>
      </c>
      <c r="B15" s="45">
        <f>VLOOKUP(B9,Price!A:J,10,FALSE)</f>
        <v>9495000</v>
      </c>
      <c r="C15" s="1"/>
      <c r="D15" s="1"/>
    </row>
    <row r="16" spans="1:4">
      <c r="A16" s="2" t="s">
        <v>1</v>
      </c>
      <c r="B16" s="4">
        <f>B41</f>
        <v>300522.93714285712</v>
      </c>
      <c r="C16" s="1"/>
      <c r="D16" s="1"/>
    </row>
    <row r="17" spans="1:5">
      <c r="A17" s="1"/>
      <c r="B17" s="1"/>
      <c r="C17" s="1"/>
      <c r="D17" s="1"/>
    </row>
    <row r="18" spans="1:5">
      <c r="A18" s="86" t="s">
        <v>72</v>
      </c>
      <c r="B18" s="87"/>
      <c r="C18" s="87"/>
      <c r="D18" s="88"/>
    </row>
    <row r="19" spans="1:5">
      <c r="A19" s="5" t="s">
        <v>2</v>
      </c>
      <c r="B19" s="5" t="s">
        <v>3</v>
      </c>
      <c r="C19" s="81" t="s">
        <v>22</v>
      </c>
      <c r="D19" s="5" t="s">
        <v>23</v>
      </c>
    </row>
    <row r="20" spans="1:5">
      <c r="A20" s="46" t="s">
        <v>74</v>
      </c>
      <c r="B20" s="7">
        <v>50000</v>
      </c>
      <c r="C20" s="25"/>
      <c r="D20" s="8">
        <f>B20</f>
        <v>50000</v>
      </c>
      <c r="E20" s="1" t="s">
        <v>36</v>
      </c>
    </row>
    <row r="21" spans="1:5">
      <c r="A21" s="46" t="s">
        <v>80</v>
      </c>
      <c r="B21" s="8">
        <f>D21/1.12</f>
        <v>110059.5238095238</v>
      </c>
      <c r="C21" s="26">
        <f>B21*12%</f>
        <v>13207.142857142855</v>
      </c>
      <c r="D21" s="8">
        <f>(B15*20%-D20)/15</f>
        <v>123266.66666666667</v>
      </c>
      <c r="E21" s="1" t="s">
        <v>4</v>
      </c>
    </row>
    <row r="22" spans="1:5">
      <c r="A22" s="46" t="s">
        <v>75</v>
      </c>
      <c r="B22" s="8">
        <f>B21</f>
        <v>110059.5238095238</v>
      </c>
      <c r="C22" s="26">
        <f>C21</f>
        <v>13207.142857142855</v>
      </c>
      <c r="D22" s="8">
        <f>B22+C22</f>
        <v>123266.66666666666</v>
      </c>
      <c r="E22" s="1" t="s">
        <v>5</v>
      </c>
    </row>
    <row r="23" spans="1:5">
      <c r="A23" s="46" t="s">
        <v>81</v>
      </c>
      <c r="B23" s="8">
        <f>B22</f>
        <v>110059.5238095238</v>
      </c>
      <c r="C23" s="8">
        <f>C22</f>
        <v>13207.142857142855</v>
      </c>
      <c r="D23" s="8">
        <f>D22</f>
        <v>123266.66666666666</v>
      </c>
    </row>
    <row r="24" spans="1:5">
      <c r="A24" s="46" t="s">
        <v>86</v>
      </c>
      <c r="B24" s="8">
        <f>B23</f>
        <v>110059.5238095238</v>
      </c>
      <c r="C24" s="8">
        <f>C22</f>
        <v>13207.142857142855</v>
      </c>
      <c r="D24" s="8">
        <f t="shared" ref="D24:D32" si="0">D23</f>
        <v>123266.66666666666</v>
      </c>
    </row>
    <row r="25" spans="1:5">
      <c r="A25" s="46" t="s">
        <v>88</v>
      </c>
      <c r="B25" s="8">
        <f>B24</f>
        <v>110059.5238095238</v>
      </c>
      <c r="C25" s="8">
        <f>C22</f>
        <v>13207.142857142855</v>
      </c>
      <c r="D25" s="8">
        <f t="shared" si="0"/>
        <v>123266.66666666666</v>
      </c>
    </row>
    <row r="26" spans="1:5">
      <c r="A26" s="46" t="s">
        <v>87</v>
      </c>
      <c r="B26" s="8">
        <f>B25</f>
        <v>110059.5238095238</v>
      </c>
      <c r="C26" s="8">
        <f>C22</f>
        <v>13207.142857142855</v>
      </c>
      <c r="D26" s="8">
        <f t="shared" si="0"/>
        <v>123266.66666666666</v>
      </c>
    </row>
    <row r="27" spans="1:5">
      <c r="A27" s="46" t="s">
        <v>89</v>
      </c>
      <c r="B27" s="8">
        <f t="shared" ref="B27:B32" si="1">B25</f>
        <v>110059.5238095238</v>
      </c>
      <c r="C27" s="8">
        <f t="shared" ref="C27:C32" si="2">C23</f>
        <v>13207.142857142855</v>
      </c>
      <c r="D27" s="8">
        <f t="shared" si="0"/>
        <v>123266.66666666666</v>
      </c>
    </row>
    <row r="28" spans="1:5">
      <c r="A28" s="46" t="s">
        <v>90</v>
      </c>
      <c r="B28" s="8">
        <f t="shared" si="1"/>
        <v>110059.5238095238</v>
      </c>
      <c r="C28" s="8">
        <f t="shared" si="2"/>
        <v>13207.142857142855</v>
      </c>
      <c r="D28" s="8">
        <f t="shared" si="0"/>
        <v>123266.66666666666</v>
      </c>
    </row>
    <row r="29" spans="1:5">
      <c r="A29" s="46" t="s">
        <v>91</v>
      </c>
      <c r="B29" s="8">
        <f t="shared" si="1"/>
        <v>110059.5238095238</v>
      </c>
      <c r="C29" s="8">
        <f t="shared" si="2"/>
        <v>13207.142857142855</v>
      </c>
      <c r="D29" s="8">
        <f t="shared" si="0"/>
        <v>123266.66666666666</v>
      </c>
    </row>
    <row r="30" spans="1:5">
      <c r="A30" s="46" t="s">
        <v>92</v>
      </c>
      <c r="B30" s="8">
        <f t="shared" si="1"/>
        <v>110059.5238095238</v>
      </c>
      <c r="C30" s="8">
        <f t="shared" si="2"/>
        <v>13207.142857142855</v>
      </c>
      <c r="D30" s="8">
        <f t="shared" si="0"/>
        <v>123266.66666666666</v>
      </c>
    </row>
    <row r="31" spans="1:5">
      <c r="A31" s="46" t="s">
        <v>93</v>
      </c>
      <c r="B31" s="8">
        <f t="shared" si="1"/>
        <v>110059.5238095238</v>
      </c>
      <c r="C31" s="8">
        <f t="shared" si="2"/>
        <v>13207.142857142855</v>
      </c>
      <c r="D31" s="8">
        <f t="shared" si="0"/>
        <v>123266.66666666666</v>
      </c>
    </row>
    <row r="32" spans="1:5">
      <c r="A32" s="46" t="s">
        <v>103</v>
      </c>
      <c r="B32" s="8">
        <f t="shared" si="1"/>
        <v>110059.5238095238</v>
      </c>
      <c r="C32" s="8">
        <f t="shared" si="2"/>
        <v>13207.142857142855</v>
      </c>
      <c r="D32" s="8">
        <f t="shared" si="0"/>
        <v>123266.66666666666</v>
      </c>
    </row>
    <row r="33" spans="1:5">
      <c r="A33" s="46" t="s">
        <v>94</v>
      </c>
      <c r="B33" s="8">
        <f t="shared" ref="B33:D35" si="3">B32</f>
        <v>110059.5238095238</v>
      </c>
      <c r="C33" s="8">
        <f t="shared" si="3"/>
        <v>13207.142857142855</v>
      </c>
      <c r="D33" s="8">
        <f t="shared" si="3"/>
        <v>123266.66666666666</v>
      </c>
    </row>
    <row r="34" spans="1:5">
      <c r="A34" s="46" t="s">
        <v>104</v>
      </c>
      <c r="B34" s="8">
        <f t="shared" si="3"/>
        <v>110059.5238095238</v>
      </c>
      <c r="C34" s="8">
        <f t="shared" si="3"/>
        <v>13207.142857142855</v>
      </c>
      <c r="D34" s="8">
        <f t="shared" si="3"/>
        <v>123266.66666666666</v>
      </c>
    </row>
    <row r="35" spans="1:5">
      <c r="A35" s="46" t="s">
        <v>106</v>
      </c>
      <c r="B35" s="8">
        <f t="shared" si="3"/>
        <v>110059.5238095238</v>
      </c>
      <c r="C35" s="8">
        <f t="shared" si="3"/>
        <v>13207.142857142855</v>
      </c>
      <c r="D35" s="8">
        <f t="shared" si="3"/>
        <v>123266.66666666666</v>
      </c>
    </row>
    <row r="36" spans="1:5">
      <c r="A36" s="46"/>
      <c r="B36" s="8"/>
      <c r="C36" s="26">
        <f>B41</f>
        <v>300522.93714285712</v>
      </c>
      <c r="D36" s="8">
        <f>B41</f>
        <v>300522.93714285712</v>
      </c>
      <c r="E36" s="24" t="s">
        <v>6</v>
      </c>
    </row>
    <row r="37" spans="1:5">
      <c r="A37" s="47" t="s">
        <v>107</v>
      </c>
      <c r="B37" s="11">
        <f>D37/1.12</f>
        <v>6782142.8571428563</v>
      </c>
      <c r="C37" s="27">
        <f>B37*12%</f>
        <v>813857.14285714272</v>
      </c>
      <c r="D37" s="11">
        <f>B15*80%</f>
        <v>7596000</v>
      </c>
      <c r="E37" s="28" t="s">
        <v>34</v>
      </c>
    </row>
    <row r="38" spans="1:5">
      <c r="A38" s="12"/>
      <c r="B38" s="12"/>
      <c r="C38" s="1"/>
      <c r="D38" s="1"/>
    </row>
    <row r="39" spans="1:5">
      <c r="A39" s="1" t="s">
        <v>44</v>
      </c>
      <c r="B39" s="13">
        <f>B15/1.12*3%</f>
        <v>254330.35714285713</v>
      </c>
      <c r="C39" s="1" t="s">
        <v>45</v>
      </c>
      <c r="D39" s="1"/>
    </row>
    <row r="40" spans="1:5">
      <c r="A40" s="1" t="s">
        <v>102</v>
      </c>
      <c r="B40" s="41">
        <v>46192.58</v>
      </c>
      <c r="C40" s="1"/>
      <c r="D40" s="1"/>
    </row>
    <row r="41" spans="1:5">
      <c r="A41" s="1"/>
      <c r="B41" s="13">
        <f>SUM(B39:B40)</f>
        <v>300522.93714285712</v>
      </c>
    </row>
    <row r="42" spans="1:5">
      <c r="A42" s="1"/>
      <c r="B42" s="13"/>
    </row>
    <row r="43" spans="1:5">
      <c r="A43" s="1" t="s">
        <v>7</v>
      </c>
    </row>
    <row r="44" spans="1:5">
      <c r="A44" s="1" t="s">
        <v>57</v>
      </c>
      <c r="B44" s="14">
        <f>D37*0.04432</f>
        <v>336654.72</v>
      </c>
      <c r="C44" s="1" t="s">
        <v>60</v>
      </c>
      <c r="D44" s="14">
        <f>D37*0.0124</f>
        <v>94190.399999999994</v>
      </c>
    </row>
    <row r="45" spans="1:5">
      <c r="A45" s="1" t="s">
        <v>58</v>
      </c>
      <c r="B45" s="14">
        <f>D37*0.03054</f>
        <v>231981.84</v>
      </c>
      <c r="C45" s="1" t="s">
        <v>61</v>
      </c>
      <c r="D45" s="14">
        <f>D37*0.01168</f>
        <v>88721.279999999999</v>
      </c>
    </row>
    <row r="46" spans="1:5">
      <c r="A46" s="1" t="s">
        <v>59</v>
      </c>
      <c r="B46" s="14">
        <f>D37*0.0198</f>
        <v>150400.80000000002</v>
      </c>
      <c r="C46" s="1"/>
      <c r="D46" s="14"/>
    </row>
    <row r="47" spans="1:5" ht="14.25">
      <c r="A47" s="74" t="s">
        <v>55</v>
      </c>
      <c r="B47" s="75"/>
      <c r="C47" s="72"/>
      <c r="D47" s="75"/>
    </row>
    <row r="49" spans="1:3">
      <c r="A49" s="15" t="s">
        <v>13</v>
      </c>
      <c r="B49" s="15"/>
      <c r="C49" s="15"/>
    </row>
    <row r="50" spans="1:3">
      <c r="A50" s="15" t="s">
        <v>8</v>
      </c>
      <c r="B50" s="15"/>
      <c r="C50" s="15"/>
    </row>
    <row r="51" spans="1:3">
      <c r="A51" s="15" t="s">
        <v>9</v>
      </c>
      <c r="B51" s="15"/>
      <c r="C51" s="15"/>
    </row>
    <row r="52" spans="1:3">
      <c r="A52" s="15" t="s">
        <v>10</v>
      </c>
      <c r="B52" s="15"/>
      <c r="C52" s="15"/>
    </row>
    <row r="53" spans="1:3">
      <c r="A53" s="15" t="s">
        <v>32</v>
      </c>
      <c r="B53" s="15"/>
      <c r="C53" s="15"/>
    </row>
    <row r="54" spans="1:3">
      <c r="A54" s="15" t="s">
        <v>33</v>
      </c>
      <c r="B54" s="15"/>
      <c r="C54" s="15"/>
    </row>
    <row r="56" spans="1:3">
      <c r="A56" s="16" t="s">
        <v>11</v>
      </c>
    </row>
    <row r="57" spans="1:3">
      <c r="A57" s="17"/>
    </row>
    <row r="58" spans="1:3">
      <c r="A58" s="17"/>
    </row>
    <row r="59" spans="1:3">
      <c r="A59" s="18"/>
      <c r="C59" s="29"/>
    </row>
    <row r="60" spans="1:3">
      <c r="A60" s="30" t="s">
        <v>24</v>
      </c>
      <c r="C60" s="19" t="s">
        <v>24</v>
      </c>
    </row>
    <row r="61" spans="1:3">
      <c r="A61" s="22"/>
    </row>
    <row r="62" spans="1:3">
      <c r="A62" s="21"/>
    </row>
    <row r="63" spans="1:3">
      <c r="A63" s="19"/>
    </row>
    <row r="65" spans="1:1">
      <c r="A65" s="29"/>
    </row>
    <row r="66" spans="1:1">
      <c r="A66" s="32" t="s">
        <v>25</v>
      </c>
    </row>
    <row r="67" spans="1:1">
      <c r="A67" s="31" t="s">
        <v>26</v>
      </c>
    </row>
  </sheetData>
  <protectedRanges>
    <protectedRange sqref="A67" name="Range8_1"/>
    <protectedRange sqref="A65" name="Range7_1"/>
    <protectedRange sqref="C59" name="Range6_1"/>
    <protectedRange sqref="A59" name="Range5_1"/>
    <protectedRange sqref="E6" name="Range2_1"/>
    <protectedRange sqref="A6" name="Range1_1"/>
    <protectedRange sqref="A37" name="Range4_4_2_1_2_1_1"/>
  </protectedRanges>
  <mergeCells count="2">
    <mergeCell ref="A8:B8"/>
    <mergeCell ref="A18:D18"/>
  </mergeCells>
  <pageMargins left="0.7" right="0.7" top="0.75" bottom="0.75" header="0.3" footer="0.3"/>
  <pageSetup paperSize="5" scale="85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</vt:i4>
      </vt:variant>
    </vt:vector>
  </HeadingPairs>
  <TitlesOfParts>
    <vt:vector size="20" baseType="lpstr">
      <vt:lpstr>Price</vt:lpstr>
      <vt:lpstr>Cash30</vt:lpstr>
      <vt:lpstr>20-80</vt:lpstr>
      <vt:lpstr>30-70</vt:lpstr>
      <vt:lpstr>40-60</vt:lpstr>
      <vt:lpstr>50-50</vt:lpstr>
      <vt:lpstr>dp(6)</vt:lpstr>
      <vt:lpstr>20(12)-80</vt:lpstr>
      <vt:lpstr>20(15)-80</vt:lpstr>
      <vt:lpstr>20(18)-80</vt:lpstr>
      <vt:lpstr>10-10(11)-80</vt:lpstr>
      <vt:lpstr>10-10(14)-80</vt:lpstr>
      <vt:lpstr>10-10(17)-80</vt:lpstr>
      <vt:lpstr>5-15(11)-80</vt:lpstr>
      <vt:lpstr>5-15(14)-80</vt:lpstr>
      <vt:lpstr>5-15(17)-80</vt:lpstr>
      <vt:lpstr>5-10(10)-5-80</vt:lpstr>
      <vt:lpstr>5-10(13)-5-80</vt:lpstr>
      <vt:lpstr>5-10(16)-5-80</vt:lpstr>
      <vt:lpstr>Cash30!Print_Area</vt:lpstr>
    </vt:vector>
  </TitlesOfParts>
  <Company>MS User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</dc:creator>
  <cp:lastModifiedBy>Jennifer Diño</cp:lastModifiedBy>
  <cp:lastPrinted>2016-06-04T01:21:46Z</cp:lastPrinted>
  <dcterms:created xsi:type="dcterms:W3CDTF">2012-02-21T07:37:38Z</dcterms:created>
  <dcterms:modified xsi:type="dcterms:W3CDTF">2016-09-11T05:35:25Z</dcterms:modified>
</cp:coreProperties>
</file>